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 defaultThemeVersion="124226"/>
  <xr:revisionPtr revIDLastSave="0" documentId="13_ncr:1_{1F1BB35B-09E1-49C0-9AAA-7A1058C6B090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43" sheetId="31" r:id="rId3"/>
    <sheet name="Лист1" sheetId="41" r:id="rId4"/>
    <sheet name="натур показатели патриотика" sheetId="39" r:id="rId5"/>
    <sheet name="патриотика0,3643" sheetId="14" r:id="rId6"/>
    <sheet name="натур показатели таланты+инициа" sheetId="40" r:id="rId7"/>
    <sheet name="таланты+инициативы0,2714" sheetId="15" r:id="rId8"/>
    <sheet name="Лист3" sheetId="36" state="hidden" r:id="rId9"/>
  </sheets>
  <externalReferences>
    <externalReference r:id="rId10"/>
    <externalReference r:id="rId11"/>
    <externalReference r:id="rId12"/>
  </externalReferences>
  <definedNames>
    <definedName name="_xlnm._FilterDatabase" localSheetId="2" hidden="1">'инновации+добровольчество0,3643'!$A$172:$I$256</definedName>
    <definedName name="_xlnm._FilterDatabase" localSheetId="7" hidden="1">'таланты+инициативы0,2714'!$A$189:$I$272</definedName>
    <definedName name="_xlnm.Print_Area" localSheetId="0">затраты!$A$1:$K$24</definedName>
    <definedName name="_xlnm.Print_Area" localSheetId="2">'инновации+добровольчество0,3643'!$A$1:$I$257</definedName>
    <definedName name="_xlnm.Print_Area" localSheetId="5">'патриотика0,3643'!$A$1:$I$302</definedName>
    <definedName name="_xlnm.Print_Area" localSheetId="7">'таланты+инициативы0,2714'!$A$1:$I$273</definedName>
  </definedNames>
  <calcPr calcId="181029"/>
  <fileRecoveryPr autoRecover="0"/>
</workbook>
</file>

<file path=xl/calcChain.xml><?xml version="1.0" encoding="utf-8"?>
<calcChain xmlns="http://schemas.openxmlformats.org/spreadsheetml/2006/main">
  <c r="D211" i="14" l="1"/>
  <c r="D203" i="14"/>
  <c r="D183" i="15"/>
  <c r="D175" i="15"/>
  <c r="E100" i="40" l="1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E119" i="40"/>
  <c r="E120" i="40"/>
  <c r="E121" i="40"/>
  <c r="E122" i="40"/>
  <c r="E123" i="40"/>
  <c r="E124" i="40"/>
  <c r="E125" i="40"/>
  <c r="E126" i="40"/>
  <c r="E127" i="40"/>
  <c r="E128" i="40"/>
  <c r="E129" i="40"/>
  <c r="E130" i="40"/>
  <c r="E131" i="40"/>
  <c r="E132" i="40"/>
  <c r="E133" i="40"/>
  <c r="E134" i="40"/>
  <c r="E135" i="40"/>
  <c r="E136" i="40"/>
  <c r="E137" i="40"/>
  <c r="E138" i="40"/>
  <c r="E139" i="40"/>
  <c r="E140" i="40"/>
  <c r="E141" i="40"/>
  <c r="E142" i="40"/>
  <c r="E143" i="40"/>
  <c r="E144" i="40"/>
  <c r="E145" i="40"/>
  <c r="E146" i="40"/>
  <c r="E147" i="40"/>
  <c r="E148" i="40"/>
  <c r="E149" i="40"/>
  <c r="E150" i="40"/>
  <c r="E151" i="40"/>
  <c r="E152" i="40"/>
  <c r="E153" i="40"/>
  <c r="E154" i="40"/>
  <c r="E155" i="40"/>
  <c r="E156" i="40"/>
  <c r="E157" i="40"/>
  <c r="E158" i="40"/>
  <c r="E159" i="40"/>
  <c r="E160" i="40"/>
  <c r="E161" i="40"/>
  <c r="E162" i="40"/>
  <c r="E163" i="40"/>
  <c r="E164" i="40"/>
  <c r="E165" i="40"/>
  <c r="E166" i="40"/>
  <c r="E167" i="40"/>
  <c r="E168" i="40"/>
  <c r="E169" i="40"/>
  <c r="E170" i="40"/>
  <c r="E171" i="40"/>
  <c r="E172" i="40"/>
  <c r="E173" i="40"/>
  <c r="E174" i="40"/>
  <c r="E175" i="40"/>
  <c r="E176" i="40"/>
  <c r="E177" i="40"/>
  <c r="E178" i="40"/>
  <c r="E179" i="40"/>
  <c r="E180" i="40"/>
  <c r="E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99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16" i="40"/>
  <c r="C33" i="40"/>
  <c r="C34" i="40"/>
  <c r="C35" i="40"/>
  <c r="C36" i="40"/>
  <c r="C37" i="40"/>
  <c r="C38" i="40"/>
  <c r="C32" i="40"/>
  <c r="C26" i="40"/>
  <c r="C27" i="40"/>
  <c r="C28" i="40"/>
  <c r="C29" i="40"/>
  <c r="C30" i="40"/>
  <c r="C31" i="40"/>
  <c r="C17" i="40"/>
  <c r="C18" i="40"/>
  <c r="C19" i="40"/>
  <c r="C20" i="40"/>
  <c r="C21" i="40"/>
  <c r="C22" i="40"/>
  <c r="C23" i="40"/>
  <c r="C24" i="40"/>
  <c r="C25" i="40"/>
  <c r="C16" i="40"/>
  <c r="E113" i="39"/>
  <c r="E114" i="39"/>
  <c r="E115" i="39"/>
  <c r="E116" i="39"/>
  <c r="E117" i="39"/>
  <c r="E118" i="39"/>
  <c r="E119" i="39"/>
  <c r="E120" i="39"/>
  <c r="E121" i="39"/>
  <c r="E122" i="39"/>
  <c r="E123" i="39"/>
  <c r="E124" i="39"/>
  <c r="E125" i="39"/>
  <c r="E126" i="39"/>
  <c r="E127" i="39"/>
  <c r="E128" i="39"/>
  <c r="E129" i="39"/>
  <c r="E130" i="39"/>
  <c r="E131" i="39"/>
  <c r="E132" i="39"/>
  <c r="E133" i="39"/>
  <c r="E134" i="39"/>
  <c r="E135" i="39"/>
  <c r="E136" i="39"/>
  <c r="E137" i="39"/>
  <c r="E138" i="39"/>
  <c r="E139" i="39"/>
  <c r="E140" i="39"/>
  <c r="E141" i="39"/>
  <c r="E142" i="39"/>
  <c r="E143" i="39"/>
  <c r="E144" i="39"/>
  <c r="E145" i="39"/>
  <c r="E146" i="39"/>
  <c r="E147" i="39"/>
  <c r="E148" i="39"/>
  <c r="E149" i="39"/>
  <c r="E150" i="39"/>
  <c r="E151" i="39"/>
  <c r="E152" i="39"/>
  <c r="E153" i="39"/>
  <c r="E154" i="39"/>
  <c r="E155" i="39"/>
  <c r="E156" i="39"/>
  <c r="E157" i="39"/>
  <c r="E158" i="39"/>
  <c r="E159" i="39"/>
  <c r="E160" i="39"/>
  <c r="E161" i="39"/>
  <c r="E162" i="39"/>
  <c r="E163" i="39"/>
  <c r="E164" i="39"/>
  <c r="E165" i="39"/>
  <c r="E166" i="39"/>
  <c r="E167" i="39"/>
  <c r="E168" i="39"/>
  <c r="E169" i="39"/>
  <c r="E170" i="39"/>
  <c r="E171" i="39"/>
  <c r="E172" i="39"/>
  <c r="E173" i="39"/>
  <c r="E174" i="39"/>
  <c r="E175" i="39"/>
  <c r="E176" i="39"/>
  <c r="E177" i="39"/>
  <c r="E178" i="39"/>
  <c r="E179" i="39"/>
  <c r="E180" i="39"/>
  <c r="E181" i="39"/>
  <c r="E182" i="39"/>
  <c r="E183" i="39"/>
  <c r="E184" i="39"/>
  <c r="E185" i="39"/>
  <c r="E186" i="39"/>
  <c r="E187" i="39"/>
  <c r="E188" i="39"/>
  <c r="E189" i="39"/>
  <c r="E190" i="39"/>
  <c r="E191" i="39"/>
  <c r="E192" i="39"/>
  <c r="E112" i="39"/>
  <c r="D192" i="39"/>
  <c r="C113" i="39"/>
  <c r="C114" i="39"/>
  <c r="C115" i="39"/>
  <c r="C116" i="39"/>
  <c r="C117" i="39"/>
  <c r="C118" i="39"/>
  <c r="C119" i="39"/>
  <c r="C120" i="39"/>
  <c r="C121" i="39"/>
  <c r="C122" i="39"/>
  <c r="C123" i="39"/>
  <c r="C124" i="39"/>
  <c r="C125" i="39"/>
  <c r="C126" i="39"/>
  <c r="C127" i="39"/>
  <c r="C128" i="39"/>
  <c r="C129" i="39"/>
  <c r="C130" i="39"/>
  <c r="C131" i="39"/>
  <c r="C132" i="39"/>
  <c r="C133" i="39"/>
  <c r="C134" i="39"/>
  <c r="C135" i="39"/>
  <c r="C136" i="39"/>
  <c r="C137" i="39"/>
  <c r="C138" i="39"/>
  <c r="C139" i="39"/>
  <c r="C140" i="39"/>
  <c r="C141" i="39"/>
  <c r="C142" i="39"/>
  <c r="C143" i="39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112" i="39"/>
  <c r="E97" i="38"/>
  <c r="E98" i="38"/>
  <c r="E99" i="38"/>
  <c r="E100" i="38"/>
  <c r="E101" i="38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E133" i="38"/>
  <c r="E134" i="38"/>
  <c r="E135" i="38"/>
  <c r="E136" i="38"/>
  <c r="E137" i="38"/>
  <c r="E138" i="38"/>
  <c r="E139" i="38"/>
  <c r="E140" i="38"/>
  <c r="E141" i="38"/>
  <c r="E142" i="38"/>
  <c r="E143" i="38"/>
  <c r="E144" i="38"/>
  <c r="E145" i="38"/>
  <c r="E146" i="38"/>
  <c r="E147" i="38"/>
  <c r="E148" i="38"/>
  <c r="E149" i="38"/>
  <c r="E150" i="38"/>
  <c r="E151" i="38"/>
  <c r="E152" i="38"/>
  <c r="E153" i="38"/>
  <c r="E154" i="38"/>
  <c r="E155" i="38"/>
  <c r="E156" i="38"/>
  <c r="E157" i="38"/>
  <c r="E158" i="38"/>
  <c r="E159" i="38"/>
  <c r="E160" i="38"/>
  <c r="E161" i="38"/>
  <c r="E162" i="38"/>
  <c r="E163" i="38"/>
  <c r="E164" i="38"/>
  <c r="E165" i="38"/>
  <c r="E166" i="38"/>
  <c r="E167" i="38"/>
  <c r="E168" i="38"/>
  <c r="E169" i="38"/>
  <c r="E170" i="38"/>
  <c r="E171" i="38"/>
  <c r="E172" i="38"/>
  <c r="E173" i="38"/>
  <c r="E174" i="38"/>
  <c r="E175" i="38"/>
  <c r="E176" i="38"/>
  <c r="E177" i="38"/>
  <c r="E96" i="38"/>
  <c r="D177" i="38"/>
  <c r="D97" i="38"/>
  <c r="D98" i="38"/>
  <c r="D99" i="38"/>
  <c r="D100" i="38"/>
  <c r="D101" i="38"/>
  <c r="D102" i="38"/>
  <c r="D103" i="38"/>
  <c r="D104" i="38"/>
  <c r="D105" i="38"/>
  <c r="D106" i="38"/>
  <c r="D107" i="38"/>
  <c r="D108" i="38"/>
  <c r="D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96" i="38"/>
  <c r="C174" i="38"/>
  <c r="C175" i="38"/>
  <c r="C176" i="38"/>
  <c r="C177" i="38"/>
  <c r="C132" i="38"/>
  <c r="C133" i="38"/>
  <c r="C134" i="38"/>
  <c r="C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97" i="38"/>
  <c r="C98" i="38"/>
  <c r="C99" i="38"/>
  <c r="C100" i="38"/>
  <c r="C101" i="38"/>
  <c r="C102" i="38"/>
  <c r="C103" i="38"/>
  <c r="C104" i="38"/>
  <c r="C105" i="38"/>
  <c r="C106" i="38"/>
  <c r="C107" i="38"/>
  <c r="C108" i="38"/>
  <c r="C109" i="38"/>
  <c r="C110" i="38"/>
  <c r="C111" i="38"/>
  <c r="C112" i="38"/>
  <c r="C113" i="38"/>
  <c r="C114" i="38"/>
  <c r="C115" i="38"/>
  <c r="C116" i="38"/>
  <c r="C117" i="38"/>
  <c r="C118" i="38"/>
  <c r="C119" i="38"/>
  <c r="C120" i="38"/>
  <c r="C121" i="38"/>
  <c r="C122" i="38"/>
  <c r="C123" i="38"/>
  <c r="C124" i="38"/>
  <c r="C125" i="38"/>
  <c r="C126" i="38"/>
  <c r="C127" i="38"/>
  <c r="C128" i="38"/>
  <c r="C129" i="38"/>
  <c r="C130" i="38"/>
  <c r="C131" i="38"/>
  <c r="C96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F251" i="31"/>
  <c r="I119" i="14"/>
  <c r="I103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D177" i="31"/>
  <c r="D178" i="31"/>
  <c r="D179" i="31"/>
  <c r="D180" i="31"/>
  <c r="D181" i="31"/>
  <c r="D182" i="31"/>
  <c r="D183" i="31"/>
  <c r="D184" i="31"/>
  <c r="D185" i="31"/>
  <c r="D186" i="31"/>
  <c r="D187" i="31"/>
  <c r="D188" i="31"/>
  <c r="D189" i="31"/>
  <c r="D190" i="31"/>
  <c r="D191" i="31"/>
  <c r="D192" i="31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D230" i="31"/>
  <c r="D231" i="31"/>
  <c r="D232" i="31"/>
  <c r="D233" i="31"/>
  <c r="D234" i="31"/>
  <c r="D235" i="31"/>
  <c r="D236" i="31"/>
  <c r="D237" i="31"/>
  <c r="D238" i="31"/>
  <c r="D239" i="31"/>
  <c r="D240" i="31"/>
  <c r="D241" i="31"/>
  <c r="D242" i="31"/>
  <c r="D243" i="31"/>
  <c r="D244" i="31"/>
  <c r="D245" i="31"/>
  <c r="D246" i="31"/>
  <c r="D247" i="31"/>
  <c r="D248" i="31"/>
  <c r="D249" i="31"/>
  <c r="D250" i="31"/>
  <c r="D251" i="31"/>
  <c r="D252" i="31"/>
  <c r="D253" i="31"/>
  <c r="D254" i="31"/>
  <c r="D255" i="31"/>
  <c r="D256" i="31"/>
  <c r="D176" i="31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E222" i="14"/>
  <c r="E177" i="31" s="1"/>
  <c r="F177" i="31" s="1"/>
  <c r="E223" i="14"/>
  <c r="E178" i="31" s="1"/>
  <c r="F178" i="31" s="1"/>
  <c r="E224" i="14"/>
  <c r="E179" i="31" s="1"/>
  <c r="F179" i="31" s="1"/>
  <c r="E225" i="14"/>
  <c r="E180" i="31" s="1"/>
  <c r="F180" i="31" s="1"/>
  <c r="E226" i="14"/>
  <c r="E181" i="31" s="1"/>
  <c r="F181" i="31" s="1"/>
  <c r="E227" i="14"/>
  <c r="E182" i="31" s="1"/>
  <c r="F182" i="31" s="1"/>
  <c r="E228" i="14"/>
  <c r="E183" i="31" s="1"/>
  <c r="F183" i="31" s="1"/>
  <c r="E229" i="14"/>
  <c r="E184" i="31" s="1"/>
  <c r="F184" i="31" s="1"/>
  <c r="E230" i="14"/>
  <c r="E185" i="31" s="1"/>
  <c r="F185" i="31" s="1"/>
  <c r="E231" i="14"/>
  <c r="E186" i="31" s="1"/>
  <c r="F186" i="31" s="1"/>
  <c r="E232" i="14"/>
  <c r="E187" i="31" s="1"/>
  <c r="F187" i="31" s="1"/>
  <c r="E233" i="14"/>
  <c r="E188" i="31" s="1"/>
  <c r="F188" i="31" s="1"/>
  <c r="E234" i="14"/>
  <c r="E189" i="31" s="1"/>
  <c r="F189" i="31" s="1"/>
  <c r="E235" i="14"/>
  <c r="E190" i="31" s="1"/>
  <c r="F190" i="31" s="1"/>
  <c r="E236" i="14"/>
  <c r="E191" i="31" s="1"/>
  <c r="F191" i="31" s="1"/>
  <c r="E237" i="14"/>
  <c r="E192" i="31" s="1"/>
  <c r="F192" i="31" s="1"/>
  <c r="E238" i="14"/>
  <c r="E193" i="31" s="1"/>
  <c r="F193" i="31" s="1"/>
  <c r="E239" i="14"/>
  <c r="E194" i="31" s="1"/>
  <c r="F194" i="31" s="1"/>
  <c r="E240" i="14"/>
  <c r="E195" i="31" s="1"/>
  <c r="F195" i="31" s="1"/>
  <c r="E241" i="14"/>
  <c r="E196" i="31" s="1"/>
  <c r="F196" i="31" s="1"/>
  <c r="E242" i="14"/>
  <c r="E197" i="31" s="1"/>
  <c r="F197" i="31" s="1"/>
  <c r="E243" i="14"/>
  <c r="E198" i="31" s="1"/>
  <c r="F198" i="31" s="1"/>
  <c r="E244" i="14"/>
  <c r="E199" i="31" s="1"/>
  <c r="F199" i="31" s="1"/>
  <c r="E245" i="14"/>
  <c r="E200" i="31" s="1"/>
  <c r="F200" i="31" s="1"/>
  <c r="E246" i="14"/>
  <c r="E201" i="31" s="1"/>
  <c r="F201" i="31" s="1"/>
  <c r="E247" i="14"/>
  <c r="E202" i="31" s="1"/>
  <c r="F202" i="31" s="1"/>
  <c r="E248" i="14"/>
  <c r="E203" i="31" s="1"/>
  <c r="F203" i="31" s="1"/>
  <c r="E249" i="14"/>
  <c r="E204" i="31" s="1"/>
  <c r="F204" i="31" s="1"/>
  <c r="E250" i="14"/>
  <c r="E205" i="31" s="1"/>
  <c r="F205" i="31" s="1"/>
  <c r="E251" i="14"/>
  <c r="E206" i="31" s="1"/>
  <c r="F206" i="31" s="1"/>
  <c r="E252" i="14"/>
  <c r="E207" i="31" s="1"/>
  <c r="F207" i="31" s="1"/>
  <c r="E253" i="14"/>
  <c r="E208" i="31" s="1"/>
  <c r="F208" i="31" s="1"/>
  <c r="E254" i="14"/>
  <c r="E209" i="31" s="1"/>
  <c r="F209" i="31" s="1"/>
  <c r="E255" i="14"/>
  <c r="E210" i="31" s="1"/>
  <c r="E256" i="14"/>
  <c r="E211" i="31" s="1"/>
  <c r="E257" i="14"/>
  <c r="E212" i="31" s="1"/>
  <c r="E258" i="14"/>
  <c r="E213" i="31" s="1"/>
  <c r="E259" i="14"/>
  <c r="E214" i="31" s="1"/>
  <c r="E260" i="14"/>
  <c r="E215" i="31" s="1"/>
  <c r="E261" i="14"/>
  <c r="E216" i="31" s="1"/>
  <c r="E262" i="14"/>
  <c r="E217" i="31" s="1"/>
  <c r="E263" i="14"/>
  <c r="E218" i="31" s="1"/>
  <c r="E264" i="14"/>
  <c r="E219" i="31" s="1"/>
  <c r="E265" i="14"/>
  <c r="E220" i="31" s="1"/>
  <c r="E266" i="14"/>
  <c r="E221" i="31" s="1"/>
  <c r="E267" i="14"/>
  <c r="E222" i="31" s="1"/>
  <c r="E268" i="14"/>
  <c r="E223" i="31" s="1"/>
  <c r="E269" i="14"/>
  <c r="E224" i="31" s="1"/>
  <c r="E270" i="14"/>
  <c r="E225" i="31" s="1"/>
  <c r="E271" i="14"/>
  <c r="E226" i="31" s="1"/>
  <c r="E272" i="14"/>
  <c r="E227" i="31" s="1"/>
  <c r="E273" i="14"/>
  <c r="E228" i="31" s="1"/>
  <c r="E274" i="14"/>
  <c r="E229" i="31" s="1"/>
  <c r="E275" i="14"/>
  <c r="E230" i="31" s="1"/>
  <c r="E276" i="14"/>
  <c r="E231" i="31" s="1"/>
  <c r="E277" i="14"/>
  <c r="E232" i="31" s="1"/>
  <c r="E278" i="14"/>
  <c r="E233" i="31" s="1"/>
  <c r="E279" i="14"/>
  <c r="E234" i="31" s="1"/>
  <c r="E280" i="14"/>
  <c r="E235" i="31" s="1"/>
  <c r="E281" i="14"/>
  <c r="E236" i="31" s="1"/>
  <c r="E282" i="14"/>
  <c r="E237" i="31" s="1"/>
  <c r="E283" i="14"/>
  <c r="E238" i="31" s="1"/>
  <c r="E284" i="14"/>
  <c r="E239" i="31" s="1"/>
  <c r="E285" i="14"/>
  <c r="E240" i="31" s="1"/>
  <c r="E286" i="14"/>
  <c r="E241" i="31" s="1"/>
  <c r="E287" i="14"/>
  <c r="E242" i="31" s="1"/>
  <c r="E288" i="14"/>
  <c r="E243" i="31" s="1"/>
  <c r="E289" i="14"/>
  <c r="E244" i="31" s="1"/>
  <c r="E290" i="14"/>
  <c r="E245" i="31" s="1"/>
  <c r="E291" i="14"/>
  <c r="E246" i="31" s="1"/>
  <c r="E292" i="14"/>
  <c r="E247" i="31" s="1"/>
  <c r="E293" i="14"/>
  <c r="E248" i="31" s="1"/>
  <c r="E294" i="14"/>
  <c r="E249" i="31" s="1"/>
  <c r="E295" i="14"/>
  <c r="E250" i="31" s="1"/>
  <c r="E296" i="14"/>
  <c r="E251" i="31" s="1"/>
  <c r="E297" i="14"/>
  <c r="E252" i="31" s="1"/>
  <c r="E298" i="14"/>
  <c r="E253" i="31" s="1"/>
  <c r="F253" i="31" s="1"/>
  <c r="E299" i="14"/>
  <c r="E254" i="31" s="1"/>
  <c r="F254" i="31" s="1"/>
  <c r="E300" i="14"/>
  <c r="E255" i="31" s="1"/>
  <c r="F255" i="31" s="1"/>
  <c r="E301" i="14"/>
  <c r="E256" i="31" s="1"/>
  <c r="F256" i="31" s="1"/>
  <c r="A222" i="14"/>
  <c r="A177" i="31" s="1"/>
  <c r="A223" i="14"/>
  <c r="A178" i="31" s="1"/>
  <c r="A224" i="14"/>
  <c r="A179" i="31" s="1"/>
  <c r="A225" i="14"/>
  <c r="A180" i="31" s="1"/>
  <c r="A226" i="14"/>
  <c r="A181" i="31" s="1"/>
  <c r="A227" i="14"/>
  <c r="A182" i="31" s="1"/>
  <c r="A228" i="14"/>
  <c r="A183" i="31" s="1"/>
  <c r="A229" i="14"/>
  <c r="A184" i="31" s="1"/>
  <c r="A230" i="14"/>
  <c r="A185" i="31" s="1"/>
  <c r="A231" i="14"/>
  <c r="A186" i="31" s="1"/>
  <c r="A232" i="14"/>
  <c r="A187" i="31" s="1"/>
  <c r="A233" i="14"/>
  <c r="A188" i="31" s="1"/>
  <c r="A234" i="14"/>
  <c r="A189" i="31" s="1"/>
  <c r="A235" i="14"/>
  <c r="A190" i="31" s="1"/>
  <c r="A236" i="14"/>
  <c r="A191" i="31" s="1"/>
  <c r="A237" i="14"/>
  <c r="A192" i="31" s="1"/>
  <c r="A238" i="14"/>
  <c r="A193" i="31" s="1"/>
  <c r="A239" i="14"/>
  <c r="A194" i="31" s="1"/>
  <c r="A240" i="14"/>
  <c r="A195" i="31" s="1"/>
  <c r="A241" i="14"/>
  <c r="A196" i="31" s="1"/>
  <c r="A242" i="14"/>
  <c r="A197" i="31" s="1"/>
  <c r="A243" i="14"/>
  <c r="A198" i="31" s="1"/>
  <c r="A244" i="14"/>
  <c r="A199" i="31" s="1"/>
  <c r="A245" i="14"/>
  <c r="A200" i="31" s="1"/>
  <c r="A246" i="14"/>
  <c r="A201" i="31" s="1"/>
  <c r="A247" i="14"/>
  <c r="A202" i="31" s="1"/>
  <c r="A248" i="14"/>
  <c r="A203" i="31" s="1"/>
  <c r="A249" i="14"/>
  <c r="A204" i="31" s="1"/>
  <c r="A250" i="14"/>
  <c r="A205" i="31" s="1"/>
  <c r="A251" i="14"/>
  <c r="A206" i="31" s="1"/>
  <c r="A252" i="14"/>
  <c r="A207" i="31" s="1"/>
  <c r="A253" i="14"/>
  <c r="A208" i="31" s="1"/>
  <c r="A254" i="14"/>
  <c r="A209" i="31" s="1"/>
  <c r="A255" i="14"/>
  <c r="A210" i="31" s="1"/>
  <c r="A256" i="14"/>
  <c r="A211" i="31" s="1"/>
  <c r="A257" i="14"/>
  <c r="A212" i="31" s="1"/>
  <c r="A258" i="14"/>
  <c r="A213" i="31" s="1"/>
  <c r="A259" i="14"/>
  <c r="A214" i="31" s="1"/>
  <c r="A260" i="14"/>
  <c r="A215" i="31" s="1"/>
  <c r="A261" i="14"/>
  <c r="A216" i="31" s="1"/>
  <c r="A262" i="14"/>
  <c r="A217" i="31" s="1"/>
  <c r="A263" i="14"/>
  <c r="A218" i="31" s="1"/>
  <c r="A264" i="14"/>
  <c r="A219" i="31" s="1"/>
  <c r="A265" i="14"/>
  <c r="A220" i="31" s="1"/>
  <c r="A266" i="14"/>
  <c r="A221" i="31" s="1"/>
  <c r="A267" i="14"/>
  <c r="A222" i="31" s="1"/>
  <c r="A268" i="14"/>
  <c r="A223" i="31" s="1"/>
  <c r="A269" i="14"/>
  <c r="A224" i="31" s="1"/>
  <c r="A270" i="14"/>
  <c r="A225" i="31" s="1"/>
  <c r="A271" i="14"/>
  <c r="A226" i="31" s="1"/>
  <c r="A272" i="14"/>
  <c r="A227" i="31" s="1"/>
  <c r="A273" i="14"/>
  <c r="A228" i="31" s="1"/>
  <c r="A274" i="14"/>
  <c r="A229" i="31" s="1"/>
  <c r="A275" i="14"/>
  <c r="A230" i="31" s="1"/>
  <c r="A276" i="14"/>
  <c r="A231" i="31" s="1"/>
  <c r="A277" i="14"/>
  <c r="A232" i="31" s="1"/>
  <c r="A278" i="14"/>
  <c r="A233" i="31" s="1"/>
  <c r="A279" i="14"/>
  <c r="A234" i="31" s="1"/>
  <c r="A280" i="14"/>
  <c r="A235" i="31" s="1"/>
  <c r="A281" i="14"/>
  <c r="A236" i="31" s="1"/>
  <c r="A282" i="14"/>
  <c r="A237" i="31" s="1"/>
  <c r="A283" i="14"/>
  <c r="A238" i="31" s="1"/>
  <c r="A284" i="14"/>
  <c r="A239" i="31" s="1"/>
  <c r="A285" i="14"/>
  <c r="A240" i="31" s="1"/>
  <c r="A286" i="14"/>
  <c r="A241" i="31" s="1"/>
  <c r="A287" i="14"/>
  <c r="A242" i="31" s="1"/>
  <c r="A288" i="14"/>
  <c r="A243" i="31" s="1"/>
  <c r="A289" i="14"/>
  <c r="A244" i="31" s="1"/>
  <c r="A290" i="14"/>
  <c r="A245" i="31" s="1"/>
  <c r="A291" i="14"/>
  <c r="A246" i="31" s="1"/>
  <c r="A292" i="14"/>
  <c r="A247" i="31" s="1"/>
  <c r="A293" i="14"/>
  <c r="A248" i="31" s="1"/>
  <c r="A294" i="14"/>
  <c r="A249" i="31" s="1"/>
  <c r="A295" i="14"/>
  <c r="A250" i="31" s="1"/>
  <c r="A296" i="14"/>
  <c r="A251" i="31" s="1"/>
  <c r="A297" i="14"/>
  <c r="A252" i="31" s="1"/>
  <c r="A298" i="14"/>
  <c r="A253" i="31" s="1"/>
  <c r="A299" i="14"/>
  <c r="A254" i="31" s="1"/>
  <c r="A300" i="14"/>
  <c r="A255" i="31" s="1"/>
  <c r="A301" i="14"/>
  <c r="A256" i="31" s="1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192" i="15"/>
  <c r="E199" i="14"/>
  <c r="E155" i="31" s="1"/>
  <c r="E200" i="14"/>
  <c r="E156" i="31" s="1"/>
  <c r="E201" i="14"/>
  <c r="E157" i="31" s="1"/>
  <c r="E202" i="14"/>
  <c r="E158" i="31" s="1"/>
  <c r="E203" i="14"/>
  <c r="E159" i="31" s="1"/>
  <c r="E204" i="14"/>
  <c r="E160" i="31" s="1"/>
  <c r="E161" i="31"/>
  <c r="E206" i="14"/>
  <c r="E162" i="31" s="1"/>
  <c r="E207" i="14"/>
  <c r="E163" i="31" s="1"/>
  <c r="E208" i="14"/>
  <c r="E164" i="31" s="1"/>
  <c r="E165" i="31"/>
  <c r="E166" i="31"/>
  <c r="E211" i="14"/>
  <c r="E167" i="31" s="1"/>
  <c r="E212" i="14"/>
  <c r="E168" i="31" s="1"/>
  <c r="E213" i="14"/>
  <c r="E197" i="14"/>
  <c r="E153" i="31" s="1"/>
  <c r="E198" i="14"/>
  <c r="E154" i="31" s="1"/>
  <c r="E196" i="14"/>
  <c r="A197" i="14"/>
  <c r="A153" i="31" s="1"/>
  <c r="A198" i="14"/>
  <c r="A154" i="31" s="1"/>
  <c r="A199" i="14"/>
  <c r="A155" i="31" s="1"/>
  <c r="A200" i="14"/>
  <c r="A156" i="31" s="1"/>
  <c r="A201" i="14"/>
  <c r="A157" i="31" s="1"/>
  <c r="A202" i="14"/>
  <c r="A158" i="31" s="1"/>
  <c r="A203" i="14"/>
  <c r="A159" i="31" s="1"/>
  <c r="A204" i="14"/>
  <c r="A160" i="31" s="1"/>
  <c r="A205" i="14"/>
  <c r="A161" i="31" s="1"/>
  <c r="A206" i="14"/>
  <c r="A162" i="31" s="1"/>
  <c r="A207" i="14"/>
  <c r="A163" i="31" s="1"/>
  <c r="A208" i="14"/>
  <c r="A164" i="31" s="1"/>
  <c r="A209" i="14"/>
  <c r="A165" i="31" s="1"/>
  <c r="A210" i="14"/>
  <c r="A166" i="31" s="1"/>
  <c r="A211" i="14"/>
  <c r="A167" i="31" s="1"/>
  <c r="A212" i="14"/>
  <c r="A168" i="31" s="1"/>
  <c r="A213" i="14"/>
  <c r="G66" i="14"/>
  <c r="G65" i="14"/>
  <c r="G100" i="14"/>
  <c r="G103" i="14"/>
  <c r="G57" i="14"/>
  <c r="G58" i="14"/>
  <c r="G59" i="14"/>
  <c r="G61" i="14"/>
  <c r="G62" i="14"/>
  <c r="G63" i="14"/>
  <c r="G68" i="14"/>
  <c r="G69" i="14"/>
  <c r="G70" i="14"/>
  <c r="G72" i="14"/>
  <c r="G73" i="14"/>
  <c r="G74" i="14"/>
  <c r="G75" i="14"/>
  <c r="G76" i="14"/>
  <c r="G77" i="14"/>
  <c r="F284" i="14" l="1"/>
  <c r="E220" i="14" l="1"/>
  <c r="E148" i="14"/>
  <c r="E149" i="14"/>
  <c r="E150" i="14"/>
  <c r="E151" i="14"/>
  <c r="E152" i="14"/>
  <c r="E147" i="14"/>
  <c r="D101" i="15" l="1"/>
  <c r="H100" i="15"/>
  <c r="H101" i="15"/>
  <c r="H102" i="15"/>
  <c r="H99" i="15"/>
  <c r="E101" i="15" l="1"/>
  <c r="H25" i="15"/>
  <c r="H24" i="15"/>
  <c r="D90" i="15"/>
  <c r="G59" i="15"/>
  <c r="G81" i="15" l="1"/>
  <c r="D127" i="14" l="1"/>
  <c r="D95" i="31" s="1"/>
  <c r="D128" i="14"/>
  <c r="D126" i="14"/>
  <c r="D94" i="31" s="1"/>
  <c r="E221" i="14"/>
  <c r="E176" i="31" s="1"/>
  <c r="F176" i="31" s="1"/>
  <c r="A221" i="14"/>
  <c r="A176" i="31" s="1"/>
  <c r="A220" i="14"/>
  <c r="A196" i="14"/>
  <c r="E189" i="14"/>
  <c r="E144" i="31" s="1"/>
  <c r="F179" i="14"/>
  <c r="F180" i="14"/>
  <c r="F181" i="14"/>
  <c r="F178" i="14"/>
  <c r="E179" i="14"/>
  <c r="E180" i="14"/>
  <c r="E181" i="14"/>
  <c r="E178" i="14"/>
  <c r="F170" i="14"/>
  <c r="F54" i="31" s="1"/>
  <c r="F171" i="14"/>
  <c r="F55" i="31" s="1"/>
  <c r="D96" i="31" l="1"/>
  <c r="E152" i="31"/>
  <c r="B152" i="31"/>
  <c r="B153" i="31"/>
  <c r="E133" i="31"/>
  <c r="E134" i="31"/>
  <c r="E135" i="31"/>
  <c r="E132" i="31"/>
  <c r="E112" i="31"/>
  <c r="E113" i="31"/>
  <c r="E114" i="31"/>
  <c r="E115" i="31"/>
  <c r="E116" i="31"/>
  <c r="E111" i="31"/>
  <c r="G63" i="31"/>
  <c r="F249" i="31"/>
  <c r="E175" i="31"/>
  <c r="A175" i="31"/>
  <c r="A152" i="31"/>
  <c r="B116" i="14"/>
  <c r="H116" i="14" s="1"/>
  <c r="B117" i="14"/>
  <c r="H117" i="14" s="1"/>
  <c r="B118" i="14"/>
  <c r="H118" i="14" s="1"/>
  <c r="B115" i="14"/>
  <c r="H115" i="14" s="1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5" i="14"/>
  <c r="G96" i="14"/>
  <c r="G97" i="14"/>
  <c r="G98" i="14"/>
  <c r="G99" i="14"/>
  <c r="G101" i="14"/>
  <c r="G102" i="14"/>
  <c r="B25" i="14"/>
  <c r="H25" i="14" s="1"/>
  <c r="B24" i="14"/>
  <c r="H24" i="14" s="1"/>
  <c r="F247" i="31" l="1"/>
  <c r="F248" i="31"/>
  <c r="F250" i="31"/>
  <c r="B84" i="31"/>
  <c r="H84" i="31" s="1"/>
  <c r="B82" i="31"/>
  <c r="H82" i="31" s="1"/>
  <c r="B26" i="31"/>
  <c r="H26" i="31" s="1"/>
  <c r="B25" i="31"/>
  <c r="B85" i="31"/>
  <c r="H85" i="31" s="1"/>
  <c r="B83" i="31"/>
  <c r="H83" i="31" s="1"/>
  <c r="F252" i="31"/>
  <c r="B221" i="14" l="1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162" i="31"/>
  <c r="B175" i="15" s="1"/>
  <c r="B163" i="31"/>
  <c r="B176" i="15" s="1"/>
  <c r="B164" i="31"/>
  <c r="B165" i="31"/>
  <c r="B177" i="15" s="1"/>
  <c r="B166" i="31"/>
  <c r="B178" i="15" s="1"/>
  <c r="B167" i="31"/>
  <c r="B179" i="15" s="1"/>
  <c r="B168" i="31"/>
  <c r="B180" i="15" s="1"/>
  <c r="B161" i="31"/>
  <c r="B174" i="15" s="1"/>
  <c r="B127" i="15" l="1"/>
  <c r="A112" i="31"/>
  <c r="A113" i="31"/>
  <c r="A114" i="31"/>
  <c r="A115" i="31"/>
  <c r="A116" i="31"/>
  <c r="A111" i="31"/>
  <c r="D102" i="15" l="1"/>
  <c r="E102" i="15" s="1"/>
  <c r="A102" i="15"/>
  <c r="A101" i="15"/>
  <c r="A100" i="15"/>
  <c r="A99" i="15"/>
  <c r="D100" i="15"/>
  <c r="E100" i="15" s="1"/>
  <c r="D99" i="15"/>
  <c r="E99" i="15" s="1"/>
  <c r="G99" i="15" l="1"/>
  <c r="I99" i="15" s="1"/>
  <c r="G101" i="15"/>
  <c r="I101" i="15" s="1"/>
  <c r="G100" i="15"/>
  <c r="I100" i="15" s="1"/>
  <c r="G102" i="15"/>
  <c r="I102" i="15" s="1"/>
  <c r="A116" i="14" l="1"/>
  <c r="A117" i="14"/>
  <c r="A118" i="14"/>
  <c r="A115" i="14"/>
  <c r="A108" i="14" l="1"/>
  <c r="A75" i="31" s="1"/>
  <c r="A14" i="14"/>
  <c r="A15" i="31" s="1"/>
  <c r="D124" i="39" l="1"/>
  <c r="D113" i="40" s="1"/>
  <c r="D125" i="39"/>
  <c r="D114" i="40" s="1"/>
  <c r="D115" i="39"/>
  <c r="D104" i="40" s="1"/>
  <c r="D113" i="39"/>
  <c r="D102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6" i="38" l="1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70" i="31"/>
  <c r="G71" i="31"/>
  <c r="G72" i="31"/>
  <c r="D85" i="39" l="1"/>
  <c r="D86" i="39"/>
  <c r="D87" i="39"/>
  <c r="D88" i="39"/>
  <c r="D89" i="39"/>
  <c r="C65" i="38"/>
  <c r="C66" i="38"/>
  <c r="C67" i="38"/>
  <c r="C68" i="38"/>
  <c r="C69" i="38"/>
  <c r="C70" i="38"/>
  <c r="C71" i="38"/>
  <c r="C72" i="38"/>
  <c r="C47" i="38"/>
  <c r="C48" i="38"/>
  <c r="C49" i="38"/>
  <c r="C50" i="38"/>
  <c r="C51" i="38"/>
  <c r="C52" i="38"/>
  <c r="C53" i="38"/>
  <c r="C54" i="38"/>
  <c r="C55" i="38"/>
  <c r="C56" i="38"/>
  <c r="C57" i="38"/>
  <c r="C62" i="38"/>
  <c r="C63" i="38"/>
  <c r="C64" i="38"/>
  <c r="C54" i="40"/>
  <c r="C55" i="40"/>
  <c r="C56" i="40"/>
  <c r="C57" i="40"/>
  <c r="C58" i="40"/>
  <c r="C59" i="40"/>
  <c r="C60" i="40"/>
  <c r="C61" i="40"/>
  <c r="C66" i="40"/>
  <c r="C67" i="40"/>
  <c r="C68" i="40"/>
  <c r="C69" i="40"/>
  <c r="C70" i="40"/>
  <c r="C71" i="40"/>
  <c r="C72" i="40"/>
  <c r="C73" i="40"/>
  <c r="C74" i="40"/>
  <c r="C75" i="40"/>
  <c r="C76" i="40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81" i="39"/>
  <c r="C82" i="39"/>
  <c r="C83" i="39"/>
  <c r="C84" i="39"/>
  <c r="C85" i="39"/>
  <c r="C86" i="39"/>
  <c r="C87" i="39"/>
  <c r="C88" i="39"/>
  <c r="C89" i="39"/>
  <c r="B155" i="31"/>
  <c r="B156" i="31"/>
  <c r="B157" i="31"/>
  <c r="B158" i="31"/>
  <c r="B159" i="31"/>
  <c r="B160" i="31"/>
  <c r="B154" i="31"/>
  <c r="C80" i="39" l="1"/>
  <c r="C79" i="39"/>
  <c r="C60" i="38" l="1"/>
  <c r="C61" i="38"/>
  <c r="C65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C44" i="39"/>
  <c r="C45" i="39"/>
  <c r="C46" i="39"/>
  <c r="C47" i="39"/>
  <c r="C48" i="39"/>
  <c r="E93" i="38"/>
  <c r="C93" i="38"/>
  <c r="A160" i="15"/>
  <c r="E188" i="14"/>
  <c r="G188" i="14" s="1"/>
  <c r="G143" i="31"/>
  <c r="G64" i="31"/>
  <c r="G73" i="31" s="1"/>
  <c r="C64" i="40" l="1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58" i="39"/>
  <c r="D114" i="39"/>
  <c r="D103" i="40" s="1"/>
  <c r="D116" i="39"/>
  <c r="D105" i="40" s="1"/>
  <c r="D117" i="39"/>
  <c r="D106" i="40" s="1"/>
  <c r="D118" i="39"/>
  <c r="D107" i="40" s="1"/>
  <c r="D119" i="39"/>
  <c r="D108" i="40" s="1"/>
  <c r="D120" i="39"/>
  <c r="D109" i="40" s="1"/>
  <c r="D121" i="39"/>
  <c r="D110" i="40" s="1"/>
  <c r="D122" i="39"/>
  <c r="D111" i="40" s="1"/>
  <c r="D123" i="39"/>
  <c r="D112" i="40" s="1"/>
  <c r="D126" i="39"/>
  <c r="D115" i="40" s="1"/>
  <c r="D127" i="39"/>
  <c r="D116" i="40" s="1"/>
  <c r="D128" i="39"/>
  <c r="D117" i="40" s="1"/>
  <c r="D129" i="39"/>
  <c r="D118" i="40" s="1"/>
  <c r="D130" i="39"/>
  <c r="D119" i="40" s="1"/>
  <c r="D131" i="39"/>
  <c r="D120" i="40" s="1"/>
  <c r="D132" i="39"/>
  <c r="D121" i="40" s="1"/>
  <c r="D133" i="39"/>
  <c r="D122" i="40" s="1"/>
  <c r="D134" i="39"/>
  <c r="D123" i="40" s="1"/>
  <c r="D135" i="39"/>
  <c r="D124" i="40" s="1"/>
  <c r="D136" i="39"/>
  <c r="D125" i="40" s="1"/>
  <c r="D137" i="39"/>
  <c r="D126" i="40" s="1"/>
  <c r="D138" i="39"/>
  <c r="D127" i="40" s="1"/>
  <c r="D139" i="39"/>
  <c r="D128" i="40" s="1"/>
  <c r="D140" i="39"/>
  <c r="D129" i="40" s="1"/>
  <c r="D141" i="39"/>
  <c r="D130" i="40" s="1"/>
  <c r="D142" i="39"/>
  <c r="D131" i="40" s="1"/>
  <c r="D143" i="39"/>
  <c r="D132" i="40" s="1"/>
  <c r="D144" i="39"/>
  <c r="D133" i="40" s="1"/>
  <c r="D145" i="39"/>
  <c r="D134" i="40" s="1"/>
  <c r="D146" i="39"/>
  <c r="D135" i="40" s="1"/>
  <c r="D147" i="39"/>
  <c r="D136" i="40" s="1"/>
  <c r="D148" i="39"/>
  <c r="D137" i="40" s="1"/>
  <c r="D149" i="39"/>
  <c r="D138" i="40" s="1"/>
  <c r="D150" i="39"/>
  <c r="D139" i="40" s="1"/>
  <c r="D151" i="39"/>
  <c r="D140" i="40" s="1"/>
  <c r="D152" i="39"/>
  <c r="D141" i="40" s="1"/>
  <c r="D153" i="39"/>
  <c r="D142" i="40" s="1"/>
  <c r="D154" i="39"/>
  <c r="D143" i="40" s="1"/>
  <c r="D155" i="39"/>
  <c r="D144" i="40" s="1"/>
  <c r="D156" i="39"/>
  <c r="D145" i="40" s="1"/>
  <c r="D157" i="39"/>
  <c r="D146" i="40" s="1"/>
  <c r="D158" i="39"/>
  <c r="D147" i="40" s="1"/>
  <c r="D159" i="39"/>
  <c r="D148" i="40" s="1"/>
  <c r="D160" i="39"/>
  <c r="D149" i="40" s="1"/>
  <c r="D161" i="39"/>
  <c r="D150" i="40" s="1"/>
  <c r="D162" i="39"/>
  <c r="D151" i="40" s="1"/>
  <c r="D163" i="39"/>
  <c r="D152" i="40" s="1"/>
  <c r="D164" i="39"/>
  <c r="D153" i="40" s="1"/>
  <c r="D165" i="39"/>
  <c r="D154" i="40" s="1"/>
  <c r="D166" i="39"/>
  <c r="D155" i="40" s="1"/>
  <c r="D167" i="39"/>
  <c r="D156" i="40" s="1"/>
  <c r="D168" i="39"/>
  <c r="D157" i="40" s="1"/>
  <c r="D169" i="39"/>
  <c r="D158" i="40" s="1"/>
  <c r="D170" i="39"/>
  <c r="D159" i="40" s="1"/>
  <c r="D171" i="39"/>
  <c r="D160" i="40" s="1"/>
  <c r="D172" i="39"/>
  <c r="D161" i="40" s="1"/>
  <c r="D173" i="39"/>
  <c r="D162" i="40" s="1"/>
  <c r="D174" i="39"/>
  <c r="D163" i="40" s="1"/>
  <c r="D175" i="39"/>
  <c r="D164" i="40" s="1"/>
  <c r="D176" i="39"/>
  <c r="D165" i="40" s="1"/>
  <c r="D177" i="39"/>
  <c r="D166" i="40" s="1"/>
  <c r="D178" i="39"/>
  <c r="D167" i="40" s="1"/>
  <c r="D179" i="39"/>
  <c r="D168" i="40" s="1"/>
  <c r="D180" i="39"/>
  <c r="D169" i="40" s="1"/>
  <c r="D181" i="39"/>
  <c r="D170" i="40" s="1"/>
  <c r="D182" i="39"/>
  <c r="D171" i="40" s="1"/>
  <c r="D183" i="39"/>
  <c r="D172" i="40" s="1"/>
  <c r="D184" i="39"/>
  <c r="D173" i="40" s="1"/>
  <c r="D185" i="39"/>
  <c r="D174" i="40" s="1"/>
  <c r="D186" i="39"/>
  <c r="D175" i="40" s="1"/>
  <c r="D187" i="39"/>
  <c r="D176" i="40" s="1"/>
  <c r="D188" i="39"/>
  <c r="D177" i="40" s="1"/>
  <c r="D189" i="39"/>
  <c r="D178" i="40" s="1"/>
  <c r="D190" i="39"/>
  <c r="D179" i="40" s="1"/>
  <c r="D191" i="39"/>
  <c r="D180" i="40" s="1"/>
  <c r="C43" i="38"/>
  <c r="C44" i="38"/>
  <c r="C45" i="38"/>
  <c r="C46" i="38"/>
  <c r="C42" i="38"/>
  <c r="C40" i="38"/>
  <c r="C56" i="39" s="1"/>
  <c r="C46" i="40" s="1"/>
  <c r="C78" i="39" l="1"/>
  <c r="D83" i="39"/>
  <c r="D81" i="39"/>
  <c r="D79" i="39"/>
  <c r="D82" i="39"/>
  <c r="D84" i="39"/>
  <c r="D80" i="39"/>
  <c r="B240" i="14"/>
  <c r="B241" i="14"/>
  <c r="C59" i="38" l="1"/>
  <c r="B170" i="15"/>
  <c r="B171" i="15"/>
  <c r="B172" i="15"/>
  <c r="B173" i="15"/>
  <c r="B169" i="15"/>
  <c r="C49" i="40"/>
  <c r="C50" i="40"/>
  <c r="C51" i="40"/>
  <c r="C52" i="40"/>
  <c r="C53" i="40"/>
  <c r="C48" i="40"/>
  <c r="C59" i="39"/>
  <c r="C60" i="39"/>
  <c r="C61" i="39"/>
  <c r="C62" i="39"/>
  <c r="C58" i="39"/>
  <c r="C63" i="40" l="1"/>
  <c r="D40" i="38"/>
  <c r="D56" i="39" s="1"/>
  <c r="D46" i="40" s="1"/>
  <c r="C77" i="39" l="1"/>
  <c r="C99" i="39"/>
  <c r="D36" i="38"/>
  <c r="D52" i="39" s="1"/>
  <c r="D42" i="40" s="1"/>
  <c r="D37" i="38"/>
  <c r="D53" i="39" s="1"/>
  <c r="D43" i="40" s="1"/>
  <c r="D38" i="38"/>
  <c r="D54" i="39" s="1"/>
  <c r="D44" i="40" s="1"/>
  <c r="D39" i="38"/>
  <c r="D55" i="39" s="1"/>
  <c r="D45" i="40" s="1"/>
  <c r="D35" i="38"/>
  <c r="D51" i="39" s="1"/>
  <c r="D41" i="40" s="1"/>
  <c r="C36" i="38"/>
  <c r="C52" i="39" s="1"/>
  <c r="C42" i="40" s="1"/>
  <c r="C37" i="38"/>
  <c r="C53" i="39" s="1"/>
  <c r="C43" i="40" s="1"/>
  <c r="C38" i="38"/>
  <c r="C54" i="39" s="1"/>
  <c r="C44" i="40" s="1"/>
  <c r="C39" i="38"/>
  <c r="C55" i="39" s="1"/>
  <c r="C45" i="40" s="1"/>
  <c r="C35" i="38"/>
  <c r="C51" i="39" s="1"/>
  <c r="C41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16" i="39"/>
  <c r="A181" i="14"/>
  <c r="A180" i="14"/>
  <c r="A179" i="14"/>
  <c r="A178" i="14"/>
  <c r="G78" i="14"/>
  <c r="G104" i="14" s="1"/>
  <c r="B123" i="15"/>
  <c r="B124" i="15"/>
  <c r="B125" i="15"/>
  <c r="B126" i="15"/>
  <c r="B122" i="15"/>
  <c r="C132" i="15"/>
  <c r="D132" i="15"/>
  <c r="E132" i="15"/>
  <c r="C158" i="14"/>
  <c r="D158" i="14"/>
  <c r="E158" i="14"/>
  <c r="F49" i="15"/>
  <c r="F50" i="15"/>
  <c r="F51" i="15"/>
  <c r="D49" i="15"/>
  <c r="D141" i="15" s="1"/>
  <c r="D50" i="15"/>
  <c r="D142" i="15" s="1"/>
  <c r="D51" i="15"/>
  <c r="D48" i="15"/>
  <c r="D140" i="15" s="1"/>
  <c r="A51" i="15"/>
  <c r="A50" i="15"/>
  <c r="A142" i="15" s="1"/>
  <c r="A49" i="15"/>
  <c r="A141" i="15" s="1"/>
  <c r="A48" i="15"/>
  <c r="A140" i="15" s="1"/>
  <c r="F47" i="14"/>
  <c r="F48" i="14"/>
  <c r="F49" i="14"/>
  <c r="D47" i="14"/>
  <c r="D170" i="14" s="1"/>
  <c r="D48" i="14"/>
  <c r="D171" i="14" s="1"/>
  <c r="D49" i="14"/>
  <c r="D46" i="14"/>
  <c r="D169" i="14" s="1"/>
  <c r="A49" i="14"/>
  <c r="A48" i="14"/>
  <c r="A171" i="14" s="1"/>
  <c r="A47" i="14"/>
  <c r="A170" i="14" s="1"/>
  <c r="A46" i="14"/>
  <c r="A169" i="14" s="1"/>
  <c r="F124" i="31"/>
  <c r="F125" i="31"/>
  <c r="G125" i="31" s="1"/>
  <c r="D124" i="31"/>
  <c r="D125" i="31"/>
  <c r="D123" i="31"/>
  <c r="A125" i="31"/>
  <c r="A124" i="31"/>
  <c r="A123" i="31"/>
  <c r="A87" i="15"/>
  <c r="D9" i="15"/>
  <c r="D9" i="14"/>
  <c r="F14" i="31"/>
  <c r="C58" i="38" l="1"/>
  <c r="C62" i="40"/>
  <c r="C15" i="37"/>
  <c r="D112" i="39" l="1"/>
  <c r="D101" i="40" s="1"/>
  <c r="F133" i="15" l="1"/>
  <c r="E95" i="31" l="1"/>
  <c r="E96" i="31"/>
  <c r="E128" i="14"/>
  <c r="E127" i="14"/>
  <c r="E111" i="15"/>
  <c r="F111" i="15" s="1"/>
  <c r="E112" i="15"/>
  <c r="F112" i="15" s="1"/>
  <c r="E113" i="15"/>
  <c r="F113" i="15" s="1"/>
  <c r="F114" i="15" l="1"/>
  <c r="I23" i="37" s="1"/>
  <c r="E94" i="31"/>
  <c r="E126" i="14"/>
  <c r="B43" i="15" l="1"/>
  <c r="F13" i="14" l="1"/>
  <c r="F32" i="14"/>
  <c r="F33" i="14"/>
  <c r="F135" i="14"/>
  <c r="F136" i="14"/>
  <c r="F137" i="14"/>
  <c r="F138" i="14"/>
  <c r="F139" i="14"/>
  <c r="F34" i="14" l="1"/>
  <c r="F14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37" i="14"/>
  <c r="G136" i="14"/>
  <c r="B139" i="14"/>
  <c r="B138" i="14"/>
  <c r="B137" i="14"/>
  <c r="B136" i="14"/>
  <c r="E140" i="14"/>
  <c r="D140" i="14"/>
  <c r="G139" i="14"/>
  <c r="G13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36" i="14"/>
  <c r="H137" i="14"/>
  <c r="H138" i="14"/>
  <c r="H139" i="14"/>
  <c r="G135" i="14"/>
  <c r="G140" i="14" s="1"/>
  <c r="B34" i="14"/>
  <c r="H32" i="14"/>
  <c r="G34" i="31"/>
  <c r="D36" i="31" l="1"/>
  <c r="D34" i="15"/>
  <c r="D34" i="14"/>
  <c r="B41" i="15"/>
  <c r="F40" i="15"/>
  <c r="B41" i="14"/>
  <c r="H135" i="14"/>
  <c r="G33" i="14"/>
  <c r="G34" i="14" s="1"/>
  <c r="G35" i="31"/>
  <c r="G36" i="31" s="1"/>
  <c r="H34" i="31"/>
  <c r="F36" i="31"/>
  <c r="H33" i="14" l="1"/>
  <c r="H35" i="31"/>
  <c r="D1" i="40" l="1"/>
  <c r="D1" i="39"/>
  <c r="C97" i="40" l="1"/>
  <c r="C91" i="40"/>
  <c r="C84" i="40"/>
  <c r="C83" i="40"/>
  <c r="C82" i="40"/>
  <c r="C81" i="40"/>
  <c r="C80" i="40"/>
  <c r="C79" i="40"/>
  <c r="C78" i="40"/>
  <c r="C91" i="39"/>
  <c r="C92" i="39"/>
  <c r="C93" i="39"/>
  <c r="C94" i="39"/>
  <c r="C95" i="39"/>
  <c r="C96" i="39"/>
  <c r="C97" i="39"/>
  <c r="C104" i="39"/>
  <c r="C110" i="39"/>
  <c r="C94" i="38" l="1"/>
  <c r="C87" i="38"/>
  <c r="C80" i="38" l="1"/>
  <c r="C79" i="38"/>
  <c r="C78" i="38"/>
  <c r="C77" i="38"/>
  <c r="C76" i="38"/>
  <c r="C75" i="38"/>
  <c r="C74" i="38"/>
  <c r="D25" i="14" l="1"/>
  <c r="E25" i="14" s="1"/>
  <c r="E26" i="31" l="1"/>
  <c r="D26" i="31"/>
  <c r="E9" i="39"/>
  <c r="B13" i="15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E24" i="14" s="1"/>
  <c r="B13" i="14"/>
  <c r="E25" i="31" l="1"/>
  <c r="D25" i="31"/>
  <c r="E10" i="38" s="1"/>
  <c r="E10" i="39"/>
  <c r="G24" i="14"/>
  <c r="G24" i="15"/>
  <c r="I24" i="15" s="1"/>
  <c r="E10" i="40"/>
  <c r="I24" i="14" l="1"/>
  <c r="I25" i="31" s="1"/>
  <c r="B14" i="31"/>
  <c r="A12" i="31"/>
  <c r="F13" i="15"/>
  <c r="D12" i="15"/>
  <c r="D10" i="15"/>
  <c r="A10" i="15"/>
  <c r="A25" i="15" s="1"/>
  <c r="A2" i="31"/>
  <c r="A2" i="14"/>
  <c r="G25" i="14" l="1"/>
  <c r="I25" i="14" s="1"/>
  <c r="G26" i="31" l="1"/>
  <c r="I26" i="31" s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E54" i="31"/>
  <c r="E53" i="31"/>
  <c r="G54" i="31"/>
  <c r="G55" i="31"/>
  <c r="F76" i="31"/>
  <c r="D82" i="31" s="1"/>
  <c r="I27" i="31"/>
  <c r="A8" i="37" s="1"/>
  <c r="E50" i="15"/>
  <c r="E48" i="15"/>
  <c r="E51" i="15"/>
  <c r="G51" i="15" s="1"/>
  <c r="E49" i="15"/>
  <c r="F109" i="14"/>
  <c r="B12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3" i="15"/>
  <c r="I6" i="36"/>
  <c r="G6" i="36"/>
  <c r="H6" i="36" s="1"/>
  <c r="I10" i="36"/>
  <c r="G10" i="36"/>
  <c r="H10" i="36" s="1"/>
  <c r="G7" i="36"/>
  <c r="H7" i="36" s="1"/>
  <c r="I7" i="36"/>
  <c r="D85" i="31" l="1"/>
  <c r="B95" i="31"/>
  <c r="F95" i="31" s="1"/>
  <c r="F127" i="14"/>
  <c r="D84" i="31"/>
  <c r="E84" i="38" s="1"/>
  <c r="E85" i="38"/>
  <c r="E85" i="31"/>
  <c r="G85" i="31" s="1"/>
  <c r="I85" i="31" s="1"/>
  <c r="E82" i="38"/>
  <c r="E87" i="38" s="1"/>
  <c r="E82" i="31"/>
  <c r="B128" i="14"/>
  <c r="F128" i="14" s="1"/>
  <c r="J23" i="15"/>
  <c r="A23" i="37"/>
  <c r="D83" i="31"/>
  <c r="F143" i="14"/>
  <c r="D118" i="14"/>
  <c r="D117" i="14"/>
  <c r="D116" i="14"/>
  <c r="E116" i="14" s="1"/>
  <c r="D115" i="14"/>
  <c r="E115" i="14" s="1"/>
  <c r="F107" i="31"/>
  <c r="G102" i="31"/>
  <c r="G103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9" i="15"/>
  <c r="I11" i="36"/>
  <c r="G8" i="36"/>
  <c r="H8" i="36" s="1"/>
  <c r="D12" i="36"/>
  <c r="D15" i="36" s="1"/>
  <c r="G9" i="36"/>
  <c r="H9" i="36" s="1"/>
  <c r="E87" i="15"/>
  <c r="F118" i="15"/>
  <c r="E88" i="15"/>
  <c r="E90" i="15"/>
  <c r="F5" i="36"/>
  <c r="E12" i="36"/>
  <c r="E84" i="31" l="1"/>
  <c r="G84" i="31" s="1"/>
  <c r="I84" i="31" s="1"/>
  <c r="D152" i="14"/>
  <c r="F152" i="14" s="1"/>
  <c r="D151" i="14"/>
  <c r="B96" i="31"/>
  <c r="F96" i="31" s="1"/>
  <c r="D127" i="15"/>
  <c r="D125" i="15"/>
  <c r="F125" i="15" s="1"/>
  <c r="D123" i="15"/>
  <c r="D126" i="15"/>
  <c r="F126" i="15" s="1"/>
  <c r="D124" i="15"/>
  <c r="F124" i="15" s="1"/>
  <c r="D122" i="15"/>
  <c r="F122" i="15" s="1"/>
  <c r="D149" i="14"/>
  <c r="E83" i="38"/>
  <c r="E83" i="31"/>
  <c r="G83" i="31" s="1"/>
  <c r="I83" i="31" s="1"/>
  <c r="E101" i="39"/>
  <c r="E117" i="14"/>
  <c r="B126" i="14"/>
  <c r="E102" i="39"/>
  <c r="E118" i="14"/>
  <c r="F123" i="15"/>
  <c r="G116" i="14"/>
  <c r="I116" i="14" s="1"/>
  <c r="E100" i="39"/>
  <c r="G115" i="14"/>
  <c r="I115" i="14" s="1"/>
  <c r="E99" i="39"/>
  <c r="E104" i="39" s="1"/>
  <c r="D120" i="31"/>
  <c r="D150" i="14"/>
  <c r="D114" i="31" s="1"/>
  <c r="F114" i="31" s="1"/>
  <c r="D147" i="14"/>
  <c r="F147" i="14" s="1"/>
  <c r="D148" i="14"/>
  <c r="E52" i="39" s="1"/>
  <c r="G82" i="31"/>
  <c r="I82" i="31" s="1"/>
  <c r="E56" i="39"/>
  <c r="E89" i="40"/>
  <c r="E88" i="40"/>
  <c r="E86" i="40"/>
  <c r="E91" i="40" s="1"/>
  <c r="E87" i="40"/>
  <c r="G132" i="15"/>
  <c r="G133" i="15" s="1"/>
  <c r="J45" i="31"/>
  <c r="D165" i="14"/>
  <c r="D136" i="15"/>
  <c r="I5" i="36"/>
  <c r="F12" i="36"/>
  <c r="I12" i="36" s="1"/>
  <c r="G5" i="36"/>
  <c r="G12" i="36" s="1"/>
  <c r="D116" i="31" l="1"/>
  <c r="E40" i="38" s="1"/>
  <c r="E141" i="15"/>
  <c r="E142" i="15"/>
  <c r="G142" i="15" s="1"/>
  <c r="E140" i="15"/>
  <c r="G140" i="15" s="1"/>
  <c r="E171" i="14"/>
  <c r="G171" i="14" s="1"/>
  <c r="E170" i="14"/>
  <c r="E107" i="39" s="1"/>
  <c r="E169" i="14"/>
  <c r="E106" i="39" s="1"/>
  <c r="B94" i="31"/>
  <c r="F94" i="31" s="1"/>
  <c r="F97" i="31" s="1"/>
  <c r="F126" i="14"/>
  <c r="F129" i="14" s="1"/>
  <c r="F149" i="14"/>
  <c r="D113" i="31"/>
  <c r="F113" i="31" s="1"/>
  <c r="D111" i="31"/>
  <c r="F111" i="31" s="1"/>
  <c r="F151" i="14"/>
  <c r="D115" i="31"/>
  <c r="F115" i="31" s="1"/>
  <c r="F148" i="14"/>
  <c r="D112" i="31"/>
  <c r="F112" i="31" s="1"/>
  <c r="F127" i="15"/>
  <c r="D128" i="31"/>
  <c r="D139" i="31" s="1"/>
  <c r="E123" i="31"/>
  <c r="E89" i="38" s="1"/>
  <c r="E51" i="39"/>
  <c r="E55" i="39"/>
  <c r="I86" i="31"/>
  <c r="F150" i="14"/>
  <c r="E54" i="39"/>
  <c r="G117" i="14"/>
  <c r="I117" i="14" s="1"/>
  <c r="G118" i="14"/>
  <c r="I118" i="14" s="1"/>
  <c r="E46" i="40"/>
  <c r="E38" i="38"/>
  <c r="E45" i="40"/>
  <c r="E42" i="40"/>
  <c r="E43" i="40"/>
  <c r="E44" i="40"/>
  <c r="G158" i="14"/>
  <c r="G159" i="14" s="1"/>
  <c r="E41" i="40"/>
  <c r="G124" i="31"/>
  <c r="E90" i="38"/>
  <c r="E91" i="38"/>
  <c r="D174" i="14"/>
  <c r="D178" i="14" s="1"/>
  <c r="D145" i="15"/>
  <c r="D149" i="15" s="1"/>
  <c r="H5" i="36"/>
  <c r="H12" i="36" s="1"/>
  <c r="E93" i="40" l="1"/>
  <c r="F116" i="31"/>
  <c r="F117" i="31" s="1"/>
  <c r="D8" i="37" s="1"/>
  <c r="E35" i="38"/>
  <c r="E36" i="38"/>
  <c r="D179" i="14"/>
  <c r="D133" i="31" s="1"/>
  <c r="E75" i="38" s="1"/>
  <c r="G149" i="15"/>
  <c r="D150" i="15"/>
  <c r="E39" i="38"/>
  <c r="E37" i="38"/>
  <c r="J46" i="31"/>
  <c r="J47" i="31" s="1"/>
  <c r="J50" i="31" s="1"/>
  <c r="I8" i="37"/>
  <c r="E78" i="38"/>
  <c r="D132" i="31"/>
  <c r="D181" i="14"/>
  <c r="G181" i="14" s="1"/>
  <c r="D180" i="14"/>
  <c r="D134" i="31" s="1"/>
  <c r="G134" i="31" s="1"/>
  <c r="D152" i="15"/>
  <c r="G152" i="15" s="1"/>
  <c r="D151" i="15"/>
  <c r="G151" i="15" s="1"/>
  <c r="E108" i="39"/>
  <c r="I15" i="37"/>
  <c r="F128" i="15"/>
  <c r="E79" i="38"/>
  <c r="E80" i="38"/>
  <c r="D184" i="14"/>
  <c r="D192" i="14" s="1"/>
  <c r="J25" i="15"/>
  <c r="G141" i="15"/>
  <c r="E94" i="40"/>
  <c r="E95" i="40"/>
  <c r="D156" i="15"/>
  <c r="D148" i="31"/>
  <c r="D144" i="31"/>
  <c r="D206" i="14" l="1"/>
  <c r="D162" i="31" s="1"/>
  <c r="D212" i="14"/>
  <c r="D168" i="31" s="1"/>
  <c r="D205" i="14"/>
  <c r="D161" i="31" s="1"/>
  <c r="D200" i="14"/>
  <c r="D156" i="31" s="1"/>
  <c r="D167" i="31"/>
  <c r="E55" i="38" s="1"/>
  <c r="D204" i="14"/>
  <c r="D160" i="31" s="1"/>
  <c r="E48" i="38" s="1"/>
  <c r="D210" i="14"/>
  <c r="D166" i="31" s="1"/>
  <c r="D159" i="31"/>
  <c r="F159" i="31" s="1"/>
  <c r="D209" i="14"/>
  <c r="D165" i="31" s="1"/>
  <c r="D158" i="31"/>
  <c r="D207" i="14"/>
  <c r="D163" i="31" s="1"/>
  <c r="E51" i="38" s="1"/>
  <c r="D213" i="14"/>
  <c r="E56" i="38"/>
  <c r="F166" i="31"/>
  <c r="D208" i="14"/>
  <c r="E50" i="38"/>
  <c r="F161" i="31"/>
  <c r="D201" i="14"/>
  <c r="D199" i="14"/>
  <c r="D198" i="14"/>
  <c r="D154" i="31" s="1"/>
  <c r="D197" i="14"/>
  <c r="D196" i="14"/>
  <c r="D152" i="31" s="1"/>
  <c r="F152" i="31" s="1"/>
  <c r="D135" i="31"/>
  <c r="G135" i="31" s="1"/>
  <c r="E78" i="40"/>
  <c r="G136" i="31"/>
  <c r="E76" i="38"/>
  <c r="G133" i="31"/>
  <c r="G132" i="31"/>
  <c r="E74" i="38"/>
  <c r="E61" i="38"/>
  <c r="E59" i="38"/>
  <c r="E60" i="38"/>
  <c r="J26" i="14"/>
  <c r="A171" i="31"/>
  <c r="E81" i="40"/>
  <c r="G150" i="15"/>
  <c r="E79" i="40"/>
  <c r="E80" i="40"/>
  <c r="E94" i="39"/>
  <c r="G178" i="14"/>
  <c r="E91" i="39"/>
  <c r="G179" i="14"/>
  <c r="E92" i="39"/>
  <c r="E96" i="39"/>
  <c r="G180" i="14"/>
  <c r="E93" i="39"/>
  <c r="E97" i="39"/>
  <c r="A216" i="14"/>
  <c r="G144" i="31"/>
  <c r="E94" i="38"/>
  <c r="D164" i="15"/>
  <c r="D161" i="15"/>
  <c r="F158" i="31" l="1"/>
  <c r="D157" i="31"/>
  <c r="F157" i="31" s="1"/>
  <c r="D153" i="31"/>
  <c r="F153" i="31" s="1"/>
  <c r="E53" i="38"/>
  <c r="D164" i="31"/>
  <c r="E52" i="38" s="1"/>
  <c r="F156" i="31"/>
  <c r="D155" i="31"/>
  <c r="F155" i="31" s="1"/>
  <c r="F165" i="31"/>
  <c r="E65" i="39"/>
  <c r="D180" i="15"/>
  <c r="F180" i="15" s="1"/>
  <c r="F181" i="15"/>
  <c r="D169" i="15"/>
  <c r="F169" i="15" s="1"/>
  <c r="D172" i="15"/>
  <c r="E52" i="40" s="1"/>
  <c r="E54" i="38"/>
  <c r="F163" i="31"/>
  <c r="F162" i="31"/>
  <c r="E49" i="38"/>
  <c r="E60" i="39"/>
  <c r="E77" i="38"/>
  <c r="E64" i="39"/>
  <c r="E67" i="39"/>
  <c r="G137" i="31"/>
  <c r="G8" i="37" s="1"/>
  <c r="E66" i="39"/>
  <c r="D220" i="14"/>
  <c r="F243" i="31"/>
  <c r="F230" i="31"/>
  <c r="F229" i="31"/>
  <c r="F238" i="14"/>
  <c r="F236" i="14"/>
  <c r="F232" i="14"/>
  <c r="G161" i="15"/>
  <c r="G162" i="15" s="1"/>
  <c r="H23" i="37" s="1"/>
  <c r="E97" i="40"/>
  <c r="F183" i="15"/>
  <c r="D178" i="15"/>
  <c r="D184" i="15"/>
  <c r="F184" i="15" s="1"/>
  <c r="F182" i="15"/>
  <c r="D179" i="15"/>
  <c r="F177" i="15"/>
  <c r="D176" i="15"/>
  <c r="F176" i="15" s="1"/>
  <c r="E54" i="40"/>
  <c r="D173" i="15"/>
  <c r="E53" i="40" s="1"/>
  <c r="D171" i="15"/>
  <c r="E51" i="40" s="1"/>
  <c r="D170" i="15"/>
  <c r="E49" i="40" s="1"/>
  <c r="D168" i="15"/>
  <c r="F168" i="15" s="1"/>
  <c r="E58" i="38"/>
  <c r="F160" i="31"/>
  <c r="E50" i="40"/>
  <c r="E65" i="38"/>
  <c r="E67" i="38"/>
  <c r="E70" i="38"/>
  <c r="E66" i="38"/>
  <c r="E62" i="38"/>
  <c r="F168" i="31"/>
  <c r="E69" i="38"/>
  <c r="F167" i="31"/>
  <c r="E71" i="38"/>
  <c r="E63" i="38"/>
  <c r="E72" i="38"/>
  <c r="E68" i="38"/>
  <c r="E64" i="38"/>
  <c r="E62" i="39"/>
  <c r="E70" i="39"/>
  <c r="E68" i="39"/>
  <c r="E69" i="39"/>
  <c r="G145" i="31"/>
  <c r="H8" i="37" s="1"/>
  <c r="F197" i="14"/>
  <c r="E59" i="39"/>
  <c r="F201" i="14"/>
  <c r="E63" i="39"/>
  <c r="F196" i="14"/>
  <c r="E58" i="39"/>
  <c r="F199" i="14"/>
  <c r="E61" i="39"/>
  <c r="F202" i="14"/>
  <c r="E43" i="38"/>
  <c r="E42" i="38"/>
  <c r="F154" i="31"/>
  <c r="E47" i="38"/>
  <c r="E46" i="38"/>
  <c r="E44" i="38"/>
  <c r="F239" i="14"/>
  <c r="F198" i="14"/>
  <c r="F200" i="14"/>
  <c r="G182" i="14"/>
  <c r="G153" i="15"/>
  <c r="E82" i="40"/>
  <c r="E84" i="40"/>
  <c r="E83" i="40"/>
  <c r="A187" i="15"/>
  <c r="D265" i="15" l="1"/>
  <c r="D262" i="15"/>
  <c r="D263" i="15" s="1"/>
  <c r="F164" i="31"/>
  <c r="D258" i="15"/>
  <c r="D250" i="15"/>
  <c r="D244" i="15"/>
  <c r="D238" i="15"/>
  <c r="D232" i="15"/>
  <c r="F232" i="15" s="1"/>
  <c r="D226" i="15"/>
  <c r="F226" i="15" s="1"/>
  <c r="D220" i="15"/>
  <c r="D214" i="15"/>
  <c r="D208" i="15"/>
  <c r="D202" i="15"/>
  <c r="D196" i="15"/>
  <c r="D257" i="15"/>
  <c r="D249" i="15"/>
  <c r="D243" i="15"/>
  <c r="D237" i="15"/>
  <c r="D231" i="15"/>
  <c r="F231" i="15" s="1"/>
  <c r="D225" i="15"/>
  <c r="D219" i="15"/>
  <c r="D213" i="15"/>
  <c r="D207" i="15"/>
  <c r="F207" i="15" s="1"/>
  <c r="D201" i="15"/>
  <c r="D195" i="15"/>
  <c r="F195" i="15" s="1"/>
  <c r="D242" i="15"/>
  <c r="D224" i="15"/>
  <c r="D206" i="15"/>
  <c r="D267" i="15"/>
  <c r="D256" i="15"/>
  <c r="D253" i="15"/>
  <c r="D247" i="15"/>
  <c r="D241" i="15"/>
  <c r="D235" i="15"/>
  <c r="D229" i="15"/>
  <c r="F229" i="15" s="1"/>
  <c r="D223" i="15"/>
  <c r="D217" i="15"/>
  <c r="D211" i="15"/>
  <c r="D205" i="15"/>
  <c r="D199" i="15"/>
  <c r="D193" i="15"/>
  <c r="D268" i="15"/>
  <c r="D236" i="15"/>
  <c r="D212" i="15"/>
  <c r="D260" i="15"/>
  <c r="D254" i="15"/>
  <c r="D252" i="15"/>
  <c r="D246" i="15"/>
  <c r="D240" i="15"/>
  <c r="D234" i="15"/>
  <c r="F234" i="15" s="1"/>
  <c r="D228" i="15"/>
  <c r="F228" i="15" s="1"/>
  <c r="D222" i="15"/>
  <c r="D216" i="15"/>
  <c r="D210" i="15"/>
  <c r="F210" i="15" s="1"/>
  <c r="D204" i="15"/>
  <c r="D198" i="15"/>
  <c r="D192" i="15"/>
  <c r="F192" i="15" s="1"/>
  <c r="D230" i="15"/>
  <c r="F230" i="15" s="1"/>
  <c r="D194" i="15"/>
  <c r="D261" i="15"/>
  <c r="D259" i="15"/>
  <c r="D255" i="15"/>
  <c r="D251" i="15"/>
  <c r="D245" i="15"/>
  <c r="D239" i="15"/>
  <c r="D233" i="15"/>
  <c r="F233" i="15" s="1"/>
  <c r="D227" i="15"/>
  <c r="F227" i="15" s="1"/>
  <c r="D221" i="15"/>
  <c r="F221" i="15" s="1"/>
  <c r="D215" i="15"/>
  <c r="D209" i="15"/>
  <c r="D203" i="15"/>
  <c r="D197" i="15"/>
  <c r="D248" i="15"/>
  <c r="D218" i="15"/>
  <c r="D200" i="15"/>
  <c r="E57" i="40"/>
  <c r="E59" i="40"/>
  <c r="F179" i="15"/>
  <c r="D191" i="15"/>
  <c r="E58" i="40"/>
  <c r="F178" i="15"/>
  <c r="E57" i="38"/>
  <c r="F210" i="31"/>
  <c r="F221" i="14"/>
  <c r="F223" i="31"/>
  <c r="F220" i="14"/>
  <c r="D175" i="31"/>
  <c r="F169" i="31"/>
  <c r="E8" i="37" s="1"/>
  <c r="F225" i="14"/>
  <c r="F211" i="31"/>
  <c r="F213" i="31"/>
  <c r="F222" i="14"/>
  <c r="F233" i="14"/>
  <c r="F234" i="14"/>
  <c r="F224" i="14"/>
  <c r="E75" i="40"/>
  <c r="E71" i="40"/>
  <c r="E67" i="40"/>
  <c r="E63" i="40"/>
  <c r="E61" i="40"/>
  <c r="E74" i="40"/>
  <c r="E70" i="40"/>
  <c r="E66" i="40"/>
  <c r="E62" i="40"/>
  <c r="E60" i="40"/>
  <c r="E73" i="40"/>
  <c r="E69" i="40"/>
  <c r="E65" i="40"/>
  <c r="E76" i="40"/>
  <c r="E72" i="40"/>
  <c r="E68" i="40"/>
  <c r="E64" i="40"/>
  <c r="E89" i="39"/>
  <c r="E85" i="39"/>
  <c r="E81" i="39"/>
  <c r="E77" i="39"/>
  <c r="F211" i="14"/>
  <c r="E73" i="39"/>
  <c r="E88" i="39"/>
  <c r="E84" i="39"/>
  <c r="E80" i="39"/>
  <c r="E76" i="39"/>
  <c r="F210" i="14"/>
  <c r="E72" i="39"/>
  <c r="E87" i="39"/>
  <c r="E83" i="39"/>
  <c r="E79" i="39"/>
  <c r="F213" i="14"/>
  <c r="E75" i="39"/>
  <c r="F209" i="14"/>
  <c r="E71" i="39"/>
  <c r="E86" i="39"/>
  <c r="E82" i="39"/>
  <c r="E78" i="39"/>
  <c r="F212" i="14"/>
  <c r="E74" i="39"/>
  <c r="F242" i="14"/>
  <c r="F245" i="14"/>
  <c r="F244" i="14"/>
  <c r="F170" i="15"/>
  <c r="F173" i="15"/>
  <c r="E48" i="40"/>
  <c r="F172" i="15"/>
  <c r="F171" i="15"/>
  <c r="F174" i="15"/>
  <c r="E55" i="40"/>
  <c r="F226" i="14"/>
  <c r="F231" i="14"/>
  <c r="F237" i="14"/>
  <c r="F243" i="14"/>
  <c r="F204" i="14"/>
  <c r="F230" i="14"/>
  <c r="F227" i="14"/>
  <c r="F208" i="14"/>
  <c r="F223" i="14"/>
  <c r="F228" i="14"/>
  <c r="F229" i="14"/>
  <c r="F235" i="14"/>
  <c r="F207" i="14"/>
  <c r="F205" i="14"/>
  <c r="E45" i="38"/>
  <c r="F206" i="14"/>
  <c r="F301" i="14"/>
  <c r="F297" i="14"/>
  <c r="F293" i="14"/>
  <c r="F289" i="14"/>
  <c r="F285" i="14"/>
  <c r="F281" i="14"/>
  <c r="F298" i="14"/>
  <c r="F294" i="14"/>
  <c r="F290" i="14"/>
  <c r="F286" i="14"/>
  <c r="F282" i="14"/>
  <c r="F203" i="14"/>
  <c r="F299" i="14"/>
  <c r="F295" i="14"/>
  <c r="F291" i="14"/>
  <c r="F287" i="14"/>
  <c r="F283" i="14"/>
  <c r="F279" i="14"/>
  <c r="F300" i="14"/>
  <c r="F296" i="14"/>
  <c r="F292" i="14"/>
  <c r="F288" i="14"/>
  <c r="F280" i="14"/>
  <c r="G154" i="15"/>
  <c r="G23" i="37" s="1"/>
  <c r="F234" i="31"/>
  <c r="F226" i="31"/>
  <c r="F232" i="31"/>
  <c r="F233" i="31"/>
  <c r="F231" i="31"/>
  <c r="F277" i="14"/>
  <c r="F273" i="14"/>
  <c r="F269" i="14"/>
  <c r="F265" i="14"/>
  <c r="F261" i="14"/>
  <c r="F257" i="14"/>
  <c r="F253" i="14"/>
  <c r="F249" i="14"/>
  <c r="F278" i="14"/>
  <c r="F274" i="14"/>
  <c r="F270" i="14"/>
  <c r="F266" i="14"/>
  <c r="F262" i="14"/>
  <c r="F258" i="14"/>
  <c r="F254" i="14"/>
  <c r="F250" i="14"/>
  <c r="F247" i="14"/>
  <c r="F275" i="14"/>
  <c r="F271" i="14"/>
  <c r="F267" i="14"/>
  <c r="F263" i="14"/>
  <c r="F259" i="14"/>
  <c r="F255" i="14"/>
  <c r="F251" i="14"/>
  <c r="F246" i="14"/>
  <c r="F276" i="14"/>
  <c r="F272" i="14"/>
  <c r="F268" i="14"/>
  <c r="F264" i="14"/>
  <c r="F260" i="14"/>
  <c r="F256" i="14"/>
  <c r="F252" i="14"/>
  <c r="F248" i="14"/>
  <c r="F246" i="31"/>
  <c r="F242" i="31"/>
  <c r="F238" i="31"/>
  <c r="F245" i="31"/>
  <c r="F241" i="31"/>
  <c r="F236" i="31"/>
  <c r="F244" i="31"/>
  <c r="F240" i="31"/>
  <c r="F237" i="31"/>
  <c r="F239" i="31"/>
  <c r="F212" i="31"/>
  <c r="F214" i="31"/>
  <c r="F215" i="31"/>
  <c r="F219" i="31"/>
  <c r="F216" i="31"/>
  <c r="F220" i="31"/>
  <c r="F235" i="31"/>
  <c r="D264" i="15" l="1"/>
  <c r="D270" i="15"/>
  <c r="D269" i="15"/>
  <c r="D272" i="15"/>
  <c r="D271" i="15"/>
  <c r="F227" i="31"/>
  <c r="F225" i="31"/>
  <c r="F175" i="31"/>
  <c r="F191" i="15"/>
  <c r="F214" i="14"/>
  <c r="F221" i="31"/>
  <c r="F222" i="31"/>
  <c r="F205" i="15"/>
  <c r="F204" i="15"/>
  <c r="F193" i="15"/>
  <c r="F218" i="31"/>
  <c r="F196" i="15"/>
  <c r="F197" i="15"/>
  <c r="F208" i="15"/>
  <c r="F228" i="31"/>
  <c r="F213" i="15"/>
  <c r="F198" i="15"/>
  <c r="F201" i="15"/>
  <c r="F209" i="15"/>
  <c r="F200" i="15"/>
  <c r="F206" i="15"/>
  <c r="F264" i="15"/>
  <c r="F254" i="15"/>
  <c r="F249" i="15"/>
  <c r="F242" i="15"/>
  <c r="F218" i="15"/>
  <c r="F262" i="15"/>
  <c r="F259" i="15"/>
  <c r="F247" i="15"/>
  <c r="F240" i="15"/>
  <c r="F224" i="15"/>
  <c r="F216" i="15"/>
  <c r="F270" i="15"/>
  <c r="F263" i="15"/>
  <c r="F260" i="15"/>
  <c r="F252" i="15"/>
  <c r="F248" i="15"/>
  <c r="F245" i="15"/>
  <c r="F241" i="15"/>
  <c r="F237" i="15"/>
  <c r="F225" i="15"/>
  <c r="F217" i="15"/>
  <c r="F194" i="15"/>
  <c r="F199" i="15"/>
  <c r="F203" i="15"/>
  <c r="F202" i="15"/>
  <c r="F175" i="15"/>
  <c r="E56" i="40"/>
  <c r="F267" i="15"/>
  <c r="F261" i="15"/>
  <c r="F257" i="15"/>
  <c r="F253" i="15"/>
  <c r="F238" i="15"/>
  <c r="F222" i="15"/>
  <c r="F214" i="15"/>
  <c r="F256" i="15"/>
  <c r="F251" i="15"/>
  <c r="F244" i="15"/>
  <c r="F236" i="15"/>
  <c r="F220" i="15"/>
  <c r="F268" i="15"/>
  <c r="F265" i="15"/>
  <c r="F258" i="15"/>
  <c r="F255" i="15"/>
  <c r="F250" i="15"/>
  <c r="F246" i="15"/>
  <c r="F243" i="15"/>
  <c r="F239" i="15"/>
  <c r="F235" i="15"/>
  <c r="F223" i="15"/>
  <c r="F219" i="15"/>
  <c r="F215" i="15"/>
  <c r="F241" i="14"/>
  <c r="F240" i="14"/>
  <c r="F217" i="31"/>
  <c r="F272" i="15" l="1"/>
  <c r="D266" i="15"/>
  <c r="F269" i="15"/>
  <c r="F271" i="15"/>
  <c r="F302" i="14"/>
  <c r="J15" i="37" s="1"/>
  <c r="F211" i="15"/>
  <c r="F224" i="31"/>
  <c r="E53" i="39"/>
  <c r="F266" i="15" l="1"/>
  <c r="F185" i="15"/>
  <c r="E23" i="37" s="1"/>
  <c r="F257" i="31"/>
  <c r="J8" i="37" s="1"/>
  <c r="F212" i="15"/>
  <c r="E15" i="37"/>
  <c r="F153" i="14"/>
  <c r="D189" i="14"/>
  <c r="F273" i="15" l="1"/>
  <c r="J23" i="37" s="1"/>
  <c r="G189" i="14"/>
  <c r="E110" i="39"/>
  <c r="G170" i="14"/>
  <c r="G48" i="14"/>
  <c r="G47" i="14"/>
  <c r="G190" i="14" l="1"/>
  <c r="H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G143" i="15" l="1"/>
  <c r="B23" i="37" s="1"/>
  <c r="K23" i="37" s="1"/>
  <c r="F169" i="14"/>
  <c r="F53" i="31" s="1"/>
  <c r="G53" i="31" l="1"/>
  <c r="G56" i="31" s="1"/>
  <c r="B8" i="37" s="1"/>
  <c r="K8" i="37" s="1"/>
  <c r="F46" i="14"/>
  <c r="G46" i="14" s="1"/>
  <c r="F123" i="31"/>
  <c r="G123" i="31" s="1"/>
  <c r="F48" i="15"/>
  <c r="G48" i="15" s="1"/>
  <c r="G52" i="15" s="1"/>
  <c r="G169" i="14"/>
  <c r="G172" i="14" s="1"/>
  <c r="B15" i="37" s="1"/>
  <c r="K15" i="37" s="1"/>
  <c r="P10" i="37" l="1"/>
  <c r="Q10" i="37" s="1"/>
  <c r="A1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<sst xmlns="http://schemas.openxmlformats.org/spreadsheetml/2006/main" count="1576" uniqueCount="451">
  <si>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</si>
  <si>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</si>
  <si>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</si>
  <si>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</si>
  <si>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</si>
  <si>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</si>
  <si>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</si>
  <si>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</si>
  <si>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</si>
  <si>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</si>
  <si>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</si>
  <si>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</si>
  <si>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</si>
  <si>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</si>
  <si>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</si>
  <si>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</si>
  <si>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</si>
  <si>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</si>
  <si>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</si>
  <si>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</si>
  <si>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</si>
  <si>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</si>
  <si>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</si>
  <si>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</si>
  <si>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</si>
  <si>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</si>
  <si>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</si>
  <si>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</si>
  <si>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</si>
  <si>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</si>
  <si>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</si>
  <si>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</si>
  <si>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</si>
  <si>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</si>
  <si>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</si>
  <si>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</si>
  <si>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</si>
  <si>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</si>
  <si>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</si>
  <si>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</si>
  <si>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</si>
  <si>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</si>
  <si>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</si>
  <si>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</si>
  <si>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</si>
  <si>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</si>
  <si>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</si>
  <si>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</si>
  <si>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</si>
  <si>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</si>
  <si>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</si>
  <si>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</si>
  <si>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</si>
  <si>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</si>
  <si>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</si>
  <si>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</si>
  <si>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</si>
  <si>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</si>
  <si>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</si>
  <si>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</si>
  <si>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</si>
  <si>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</si>
  <si>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</si>
  <si>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</si>
  <si>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</si>
  <si>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</si>
  <si>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</si>
  <si>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</si>
  <si>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</si>
  <si>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</si>
  <si>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</si>
  <si>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</si>
  <si>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</si>
  <si>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</si>
  <si>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</si>
  <si>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</si>
  <si>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</si>
  <si>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</si>
  <si>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</si>
  <si>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</si>
  <si>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</si>
  <si>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</si>
  <si>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</si>
  <si>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</si>
  <si>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</si>
  <si>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</si>
  <si>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</si>
  <si>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</si>
  <si>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</si>
  <si>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</si>
  <si>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</si>
  <si>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</si>
  <si>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</si>
  <si>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</si>
  <si>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</si>
  <si>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</si>
  <si>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</si>
  <si>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</si>
  <si>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</si>
  <si>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</si>
  <si>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</si>
  <si>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</si>
  <si>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</si>
  <si>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</si>
  <si>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</si>
  <si>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</si>
  <si>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</si>
  <si>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</si>
  <si>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</si>
  <si>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</si>
  <si>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</si>
  <si>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</si>
  <si>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</si>
  <si>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</si>
  <si>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</si>
  <si>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</si>
  <si>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</si>
  <si>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</si>
  <si>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</si>
  <si>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</si>
  <si>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</si>
  <si>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</si>
  <si>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</si>
  <si>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</si>
  <si>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</si>
  <si>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</si>
  <si>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</si>
  <si>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</si>
  <si>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</si>
  <si>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</si>
  <si>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</si>
  <si>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</si>
  <si>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</si>
  <si>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</si>
  <si>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</si>
  <si>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</si>
  <si>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</si>
  <si>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</si>
  <si>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</si>
  <si>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</si>
  <si>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</si>
  <si>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</si>
  <si>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</si>
  <si>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</si>
  <si>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</si>
  <si>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</si>
  <si>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</si>
  <si>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</si>
  <si>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</si>
  <si>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</si>
  <si>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</si>
  <si>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</si>
  <si>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</si>
  <si>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</si>
  <si>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</si>
  <si>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</si>
  <si>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</si>
  <si>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</si>
  <si>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</si>
  <si>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</si>
  <si>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</si>
  <si>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</si>
  <si>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</si>
  <si>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</si>
  <si>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</si>
  <si>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</si>
  <si>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</si>
  <si>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</si>
  <si>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</si>
  <si>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</si>
  <si>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</si>
  <si>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</si>
  <si>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</si>
  <si>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</si>
  <si>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</si>
  <si>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</si>
  <si>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</si>
  <si>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</si>
  <si>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</si>
  <si>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</si>
  <si>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</si>
  <si>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</si>
  <si>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</si>
  <si>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</si>
  <si>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</si>
  <si>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</si>
  <si>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</si>
  <si>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</si>
  <si>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</si>
  <si>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</si>
  <si>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</si>
  <si>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</si>
  <si>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</si>
  <si>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</si>
  <si>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</si>
  <si>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</si>
  <si>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</si>
  <si>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</si>
  <si>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</si>
  <si>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</si>
  <si>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</si>
  <si>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</si>
  <si>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</si>
  <si>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</si>
  <si>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</si>
  <si>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</si>
  <si>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</si>
  <si>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</si>
  <si>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</si>
  <si>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</si>
  <si>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</si>
  <si>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</si>
  <si>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</si>
  <si>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</si>
  <si>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</si>
  <si>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</si>
  <si>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</si>
  <si>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</si>
  <si>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</si>
  <si>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</si>
  <si>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</si>
  <si>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</si>
  <si>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Расходные материалы к мероприятиям</t>
  </si>
  <si>
    <t>Проезд детей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</si>
  <si>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</si>
  <si>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</si>
  <si>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</si>
  <si>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</si>
  <si>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</si>
  <si>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</si>
  <si>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</si>
  <si>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</si>
  <si>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</si>
  <si>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</si>
  <si>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</si>
  <si>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</si>
  <si>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</si>
  <si>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</si>
  <si>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</si>
  <si>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</si>
  <si>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</si>
  <si>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</si>
  <si>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</si>
  <si>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</si>
  <si>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</si>
  <si>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</si>
  <si>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</si>
  <si>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</si>
  <si>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</si>
  <si>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</si>
  <si>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</si>
  <si>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</si>
  <si>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</si>
  <si>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</si>
  <si>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</si>
  <si>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</si>
  <si>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</si>
  <si>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</si>
  <si>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</si>
  <si>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</si>
  <si>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</si>
  <si>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</si>
  <si>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</si>
  <si>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</si>
  <si>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</si>
  <si>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</si>
  <si>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</si>
  <si>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</si>
  <si>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</si>
  <si>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</si>
  <si>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</si>
  <si>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</si>
  <si>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</si>
  <si>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</si>
  <si>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</si>
  <si>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</si>
  <si>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</si>
  <si>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</si>
  <si>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</si>
  <si>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</si>
  <si>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</si>
  <si>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(1774,4 часа ×</t>
  </si>
  <si>
    <t>Почтовые конверты (упак 50 шт)</t>
  </si>
  <si>
    <t xml:space="preserve">Мониторинг систем пожарной сигнализации  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</si>
  <si>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</si>
  <si>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</si>
  <si>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</si>
  <si>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</si>
  <si>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</si>
  <si>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</si>
  <si>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</si>
  <si>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</si>
  <si>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</si>
  <si>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</si>
  <si>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</si>
  <si>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</si>
  <si>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</si>
  <si>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</si>
  <si>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</si>
  <si>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</si>
  <si>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</si>
  <si>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</si>
  <si>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</si>
  <si>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</si>
  <si>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</si>
  <si>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</si>
  <si>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</si>
  <si>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</si>
  <si>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</si>
  <si>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</si>
  <si>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</si>
  <si>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Планируемое число  в год:  38   мероприятий (штук) (показатель объема услуги - задание)</t>
  </si>
  <si>
    <t>Рабочих часов в год:1775,4 часа – производственный календарь на 2023 год</t>
  </si>
  <si>
    <t>(плановое задание 2023 года)</t>
  </si>
  <si>
    <t>6=5*0,2714</t>
  </si>
  <si>
    <t>Провоз груза 2910 кг (1 кг=20 руб)</t>
  </si>
  <si>
    <t>23 коммандировки в год</t>
  </si>
  <si>
    <t>23 командировки</t>
  </si>
  <si>
    <t>6=5*0,3643</t>
  </si>
  <si>
    <t>Участие подростков,в региональном этапе Всероссийской военно-спортивной игры "Победа</t>
  </si>
  <si>
    <t>Суточные детей (10 чел)</t>
  </si>
  <si>
    <t>Участие команды ВПО Северо-Енисейского района в краевом сборе-конкурсе курсантов военно-патриотических объединений "Слет Патриотов-2023" (Манский район)</t>
  </si>
  <si>
    <t>Участие молодежи Северо-Енисейского района в тренировочных сборах г. Красноярск</t>
  </si>
  <si>
    <t>Зональный этап Краевого конкурса по строевой подготовке</t>
  </si>
  <si>
    <t>Проезд детей 5</t>
  </si>
  <si>
    <t>Проживание детей 5 детей</t>
  </si>
  <si>
    <t>Суточные детей 5</t>
  </si>
  <si>
    <t>Приобретения для мероприятий</t>
  </si>
  <si>
    <t>Китель ВКБО 50</t>
  </si>
  <si>
    <t>Брюки ВКБО 50</t>
  </si>
  <si>
    <t>Брюки Тамерлан 50</t>
  </si>
  <si>
    <t>Китель Тамерлан</t>
  </si>
  <si>
    <t>Рюкзак десантника</t>
  </si>
  <si>
    <t>плащ палатка</t>
  </si>
  <si>
    <t>ремень офицерский</t>
  </si>
  <si>
    <t>лопатка саперная</t>
  </si>
  <si>
    <t>Костюм защитный рост 1</t>
  </si>
  <si>
    <t>Костюм защитный рост 2</t>
  </si>
  <si>
    <t xml:space="preserve">Каска </t>
  </si>
  <si>
    <t>курвиметр</t>
  </si>
  <si>
    <t>Подсумок АК черн</t>
  </si>
  <si>
    <t>Подсумок РПК черн</t>
  </si>
  <si>
    <t>Магазин РПК</t>
  </si>
  <si>
    <t>ОЗК</t>
  </si>
  <si>
    <t>Сумка тактическая</t>
  </si>
  <si>
    <t>Сумка для противогаза</t>
  </si>
  <si>
    <t>Экипировочные костюмы юнармия (кители, берцы, шарфы, шевроны, нашивки, куртки, шапки, жакеты, брюки, ремни)</t>
  </si>
  <si>
    <t>мягкие перчатки</t>
  </si>
  <si>
    <t>Покрытие "Танковый трек"</t>
  </si>
  <si>
    <t>Баннер с люверсами</t>
  </si>
  <si>
    <t>Флаг для виндера парус "Юнармия"</t>
  </si>
  <si>
    <t>парафиновый вкладых (свечи памяти)</t>
  </si>
  <si>
    <t>Лента репсовая георгиевская 25 мм</t>
  </si>
  <si>
    <t>Лента репсовая георгиевская 35 мм</t>
  </si>
  <si>
    <t>Брусок для штандартов на 9 мая</t>
  </si>
  <si>
    <t>Услуги мониторинга пожарной сигнализации</t>
  </si>
  <si>
    <t>Договор на медосмотр при устройстве на работу</t>
  </si>
  <si>
    <t>Блок фотобарабана</t>
  </si>
  <si>
    <t>Чкрнила для принтера</t>
  </si>
  <si>
    <t>картридж</t>
  </si>
  <si>
    <t>Комплектующие для настольных игр</t>
  </si>
  <si>
    <t>Настольные игры</t>
  </si>
  <si>
    <t xml:space="preserve">Батарейка </t>
  </si>
  <si>
    <t>блок для записей</t>
  </si>
  <si>
    <t>бумага туал</t>
  </si>
  <si>
    <t>губка-ластик</t>
  </si>
  <si>
    <t>доска-планшет</t>
  </si>
  <si>
    <t>закладки</t>
  </si>
  <si>
    <t>карандаш</t>
  </si>
  <si>
    <t>клей</t>
  </si>
  <si>
    <t>книга отзывов</t>
  </si>
  <si>
    <t>лампа светодиод</t>
  </si>
  <si>
    <t>кнопки</t>
  </si>
  <si>
    <t>магниты, маркеры</t>
  </si>
  <si>
    <t>мешки мусор</t>
  </si>
  <si>
    <t>мыло крем</t>
  </si>
  <si>
    <t>текстовыделитель, нож макет</t>
  </si>
  <si>
    <t>освежитель</t>
  </si>
  <si>
    <t>папка</t>
  </si>
  <si>
    <t>перчатки, полотенца, салфетки</t>
  </si>
  <si>
    <t>свечи</t>
  </si>
  <si>
    <t>кнопки, скобы</t>
  </si>
  <si>
    <t>моющие ср-ва</t>
  </si>
  <si>
    <t>хомуты</t>
  </si>
  <si>
    <t>чистящие ср-ва</t>
  </si>
  <si>
    <t>шпагат</t>
  </si>
  <si>
    <t>Флаг парус 3650*815</t>
  </si>
  <si>
    <t>Сумка кофр</t>
  </si>
  <si>
    <t>мачта разборная</t>
  </si>
  <si>
    <t>наливное пластиковое основание</t>
  </si>
  <si>
    <t>Бумага Ксерокс</t>
  </si>
  <si>
    <t>Холст кактус</t>
  </si>
  <si>
    <t>Пленка для ламинирования</t>
  </si>
  <si>
    <t>Ручка гель</t>
  </si>
  <si>
    <t>Ложка суповая</t>
  </si>
  <si>
    <t>Тарелка суповая</t>
  </si>
  <si>
    <t xml:space="preserve">Стакан однораз </t>
  </si>
  <si>
    <t>Стакан однораз 250 мл</t>
  </si>
  <si>
    <t>Бумага цветная</t>
  </si>
  <si>
    <t>Бумага писчая</t>
  </si>
  <si>
    <t>Фитолента</t>
  </si>
  <si>
    <t>грунт универсал</t>
  </si>
  <si>
    <t>комплект рассадников</t>
  </si>
  <si>
    <t>семена цветов</t>
  </si>
  <si>
    <t>пьезозажтгалка</t>
  </si>
  <si>
    <t>лейка садовая</t>
  </si>
  <si>
    <t>Толстовка мц</t>
  </si>
  <si>
    <t>футболка мц</t>
  </si>
  <si>
    <t>бейсболка мц</t>
  </si>
  <si>
    <t>флаг мц</t>
  </si>
  <si>
    <t>Футболка черная</t>
  </si>
  <si>
    <t>система джокер 2*3</t>
  </si>
  <si>
    <t>система джокер 2*2</t>
  </si>
  <si>
    <t xml:space="preserve">мачта разборка </t>
  </si>
  <si>
    <t>флаг парус</t>
  </si>
  <si>
    <t>сучка кофр</t>
  </si>
  <si>
    <t>Бумага А4 офисная</t>
  </si>
  <si>
    <t>Фотобумага А4 глянцевая</t>
  </si>
  <si>
    <t>Карта памяти Kingston для экшн камеры</t>
  </si>
  <si>
    <t>Фоторамки</t>
  </si>
  <si>
    <t>Труба профильная</t>
  </si>
  <si>
    <t>Фанера березовая шлифованная</t>
  </si>
  <si>
    <t>Чернозем для клумб</t>
  </si>
  <si>
    <t>Набор для ухода за оптикой</t>
  </si>
  <si>
    <t>Фотосумка</t>
  </si>
  <si>
    <t>Карта памяти экспресс</t>
  </si>
  <si>
    <t>Карт ридер</t>
  </si>
  <si>
    <r>
      <t>Баллончик CO</t>
    </r>
    <r>
      <rPr>
        <sz val="12"/>
        <color theme="1"/>
        <rFont val="Cambria Math"/>
        <family val="1"/>
        <charset val="204"/>
      </rPr>
      <t>₂</t>
    </r>
    <r>
      <rPr>
        <sz val="12"/>
        <color theme="1"/>
        <rFont val="Times New Roman"/>
        <family val="1"/>
        <charset val="204"/>
      </rPr>
      <t xml:space="preserve"> для пневматики Panzer, 12 г</t>
    </r>
  </si>
  <si>
    <t>Пули Crosman Premier Super Match 4,5 мм, 0,51 г (500 штук)</t>
  </si>
  <si>
    <t>Пули H&amp;N Match Light 4,5 мм, 0,51 г (500 штук)</t>
  </si>
  <si>
    <t>Пули Gamo Pro Match 4,5 мм, 0,49 г (500 штук)</t>
  </si>
  <si>
    <t>Шарики BB для пневматики «Выстрел» 4,5 мм (1500 штук)</t>
  </si>
  <si>
    <t>Пули H&amp;N Baracuda 6,35 мм, 2,0 г (150 штук)</t>
  </si>
  <si>
    <t>Пули H&amp;N Grizzly 6,35 мм, 2,02 г (150 штук)</t>
  </si>
  <si>
    <t>Пули H&amp;N Silver Point 6,35 мм, 1,58 г (150 штук)</t>
  </si>
  <si>
    <t>Стрела лучная микс карбон Centershot Crash 550, Parabolic 3"</t>
  </si>
  <si>
    <t>Стрела лучная карбоновая спорт. Centershot Flash 500, Shield 2"</t>
  </si>
  <si>
    <t>Наконечник для ArcheryTag (арчеритаг) гуманизатор №2 для лучных стрел</t>
  </si>
  <si>
    <t>Наконечник гуманизатор для лучных стрел</t>
  </si>
  <si>
    <t>Флаг бумажный двусторонний к премии Главы</t>
  </si>
  <si>
    <t>Хэштэг Премия главы</t>
  </si>
  <si>
    <t>Хэштэг День молодежи 2023</t>
  </si>
  <si>
    <t>Хэштэг вперед в будущее 2023</t>
  </si>
  <si>
    <t>Баннер фотозона 2*3</t>
  </si>
  <si>
    <t>Баннер фотозона 2*2</t>
  </si>
  <si>
    <t>спилс-карта Северо-Енисейский район</t>
  </si>
  <si>
    <t>пазл напольный Северо-Енисейский район</t>
  </si>
  <si>
    <t>статуэтка наградная премия Глава района</t>
  </si>
  <si>
    <t>Приложение №1 к Приказу отдела физической культуры, спорта и молодежной политики Северо-Енисейского района от 08.12.2023 № 90-ос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</si>
  <si>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08.11.2023 № 90-ос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</si>
  <si>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08.12.2023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</si>
</sst>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mbria Math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8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2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18" fillId="4" borderId="15" xfId="0" applyFont="1" applyFill="1" applyBorder="1" applyAlignment="1">
      <alignment horizontal="left" vertical="top" wrapText="1" readingOrder="1"/>
    </xf>
    <xf numFmtId="166" fontId="47" fillId="4" borderId="0" xfId="0" applyNumberFormat="1" applyFont="1" applyFill="1"/>
    <xf numFmtId="4" fontId="47" fillId="4" borderId="0" xfId="0" applyNumberFormat="1" applyFont="1" applyFill="1"/>
    <xf numFmtId="165" fontId="5" fillId="9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/>
    <xf numFmtId="4" fontId="44" fillId="10" borderId="14" xfId="0" applyNumberFormat="1" applyFont="1" applyFill="1" applyBorder="1" applyAlignment="1">
      <alignment horizontal="center" vertical="center" wrapText="1"/>
    </xf>
    <xf numFmtId="4" fontId="3" fillId="9" borderId="7" xfId="0" applyNumberFormat="1" applyFont="1" applyFill="1" applyBorder="1" applyAlignment="1">
      <alignment horizontal="center"/>
    </xf>
    <xf numFmtId="164" fontId="46" fillId="9" borderId="7" xfId="1" applyFont="1" applyFill="1" applyBorder="1" applyAlignment="1">
      <alignment vertical="top" wrapText="1"/>
    </xf>
    <xf numFmtId="169" fontId="4" fillId="4" borderId="7" xfId="0" applyNumberFormat="1" applyFont="1" applyFill="1" applyBorder="1" applyAlignment="1">
      <alignment vertical="top" wrapText="1"/>
    </xf>
    <xf numFmtId="4" fontId="18" fillId="4" borderId="9" xfId="0" applyNumberFormat="1" applyFont="1" applyFill="1" applyBorder="1" applyAlignment="1">
      <alignment horizontal="left" vertical="top"/>
    </xf>
    <xf numFmtId="4" fontId="44" fillId="9" borderId="7" xfId="0" applyNumberFormat="1" applyFont="1" applyFill="1" applyBorder="1" applyAlignment="1">
      <alignment horizontal="center" vertical="top" wrapText="1" readingOrder="1"/>
    </xf>
    <xf numFmtId="4" fontId="5" fillId="4" borderId="45" xfId="0" applyNumberFormat="1" applyFont="1" applyFill="1" applyBorder="1" applyAlignment="1">
      <alignment vertical="center" wrapText="1"/>
    </xf>
    <xf numFmtId="4" fontId="44" fillId="10" borderId="7" xfId="0" applyNumberFormat="1" applyFont="1" applyFill="1" applyBorder="1" applyAlignment="1">
      <alignment horizontal="center" vertical="center" wrapText="1" readingOrder="1"/>
    </xf>
    <xf numFmtId="4" fontId="18" fillId="4" borderId="26" xfId="0" applyNumberFormat="1" applyFont="1" applyFill="1" applyBorder="1" applyAlignment="1">
      <alignment horizontal="center" vertical="top"/>
    </xf>
    <xf numFmtId="4" fontId="5" fillId="10" borderId="7" xfId="0" applyNumberFormat="1" applyFont="1" applyFill="1" applyBorder="1" applyAlignment="1">
      <alignment horizontal="center" vertical="center" wrapText="1" readingOrder="1"/>
    </xf>
    <xf numFmtId="4" fontId="44" fillId="10" borderId="14" xfId="0" applyNumberFormat="1" applyFont="1" applyFill="1" applyBorder="1" applyAlignment="1">
      <alignment horizontal="center" vertical="center" wrapText="1" readingOrder="1"/>
    </xf>
    <xf numFmtId="4" fontId="44" fillId="9" borderId="33" xfId="0" applyNumberFormat="1" applyFont="1" applyFill="1" applyBorder="1"/>
    <xf numFmtId="4" fontId="7" fillId="9" borderId="7" xfId="0" applyNumberFormat="1" applyFont="1" applyFill="1" applyBorder="1" applyAlignment="1">
      <alignment horizontal="center" vertical="center" wrapText="1" readingOrder="1"/>
    </xf>
    <xf numFmtId="4" fontId="51" fillId="9" borderId="7" xfId="0" applyNumberFormat="1" applyFont="1" applyFill="1" applyBorder="1" applyAlignment="1">
      <alignment horizontal="center" vertical="center" wrapText="1" readingOrder="1"/>
    </xf>
    <xf numFmtId="4" fontId="44" fillId="9" borderId="7" xfId="0" applyNumberFormat="1" applyFont="1" applyFill="1" applyBorder="1" applyAlignment="1">
      <alignment horizontal="center" vertical="center" wrapText="1" readingOrder="1"/>
    </xf>
    <xf numFmtId="4" fontId="21" fillId="9" borderId="1" xfId="0" applyNumberFormat="1" applyFont="1" applyFill="1" applyBorder="1" applyAlignment="1">
      <alignment horizontal="center" vertical="center" wrapText="1" readingOrder="1"/>
    </xf>
    <xf numFmtId="165" fontId="3" fillId="9" borderId="7" xfId="0" applyNumberFormat="1" applyFont="1" applyFill="1" applyBorder="1" applyAlignment="1">
      <alignment horizontal="center"/>
    </xf>
    <xf numFmtId="0" fontId="27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4" fontId="44" fillId="10" borderId="7" xfId="0" applyNumberFormat="1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164" fontId="44" fillId="9" borderId="7" xfId="1" applyFont="1" applyFill="1" applyBorder="1" applyAlignment="1">
      <alignment vertical="top" wrapText="1"/>
    </xf>
    <xf numFmtId="4" fontId="44" fillId="9" borderId="9" xfId="0" applyNumberFormat="1" applyFont="1" applyFill="1" applyBorder="1" applyAlignment="1">
      <alignment horizontal="center" vertical="top" wrapText="1" readingOrder="1"/>
    </xf>
    <xf numFmtId="4" fontId="44" fillId="9" borderId="7" xfId="0" applyNumberFormat="1" applyFont="1" applyFill="1" applyBorder="1"/>
    <xf numFmtId="4" fontId="44" fillId="11" borderId="14" xfId="0" applyNumberFormat="1" applyFont="1" applyFill="1" applyBorder="1" applyAlignment="1">
      <alignment horizontal="center" vertical="center" wrapText="1" readingOrder="1"/>
    </xf>
    <xf numFmtId="4" fontId="44" fillId="12" borderId="7" xfId="0" applyNumberFormat="1" applyFont="1" applyFill="1" applyBorder="1" applyAlignment="1">
      <alignment horizontal="center" vertical="center" wrapText="1" readingOrder="1"/>
    </xf>
    <xf numFmtId="4" fontId="45" fillId="12" borderId="7" xfId="0" applyNumberFormat="1" applyFont="1" applyFill="1" applyBorder="1"/>
    <xf numFmtId="165" fontId="3" fillId="12" borderId="7" xfId="0" applyNumberFormat="1" applyFont="1" applyFill="1" applyBorder="1" applyAlignment="1">
      <alignment horizontal="center"/>
    </xf>
    <xf numFmtId="164" fontId="46" fillId="12" borderId="7" xfId="1" applyFont="1" applyFill="1" applyBorder="1" applyAlignment="1">
      <alignment vertical="top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3" fillId="12" borderId="7" xfId="0" applyNumberFormat="1" applyFont="1" applyFill="1" applyBorder="1" applyAlignment="1">
      <alignment horizontal="center" vertical="top" wrapText="1" readingOrder="1"/>
    </xf>
    <xf numFmtId="4" fontId="43" fillId="11" borderId="14" xfId="0" applyNumberFormat="1" applyFont="1" applyFill="1" applyBorder="1" applyAlignment="1">
      <alignment horizontal="center" vertical="center" wrapText="1" readingOrder="1"/>
    </xf>
    <xf numFmtId="4" fontId="43" fillId="12" borderId="7" xfId="0" applyNumberFormat="1" applyFont="1" applyFill="1" applyBorder="1" applyAlignment="1">
      <alignment horizontal="center" vertical="center" wrapText="1" readingOrder="1"/>
    </xf>
    <xf numFmtId="2" fontId="5" fillId="4" borderId="7" xfId="0" applyNumberFormat="1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center" wrapText="1"/>
    </xf>
    <xf numFmtId="167" fontId="10" fillId="4" borderId="7" xfId="0" applyNumberFormat="1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vertical="center" wrapText="1" readingOrder="1"/>
    </xf>
    <xf numFmtId="167" fontId="5" fillId="4" borderId="7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/>
    <xf numFmtId="168" fontId="5" fillId="4" borderId="7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top" wrapText="1"/>
    </xf>
    <xf numFmtId="168" fontId="4" fillId="4" borderId="7" xfId="0" applyNumberFormat="1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/>
    </xf>
    <xf numFmtId="0" fontId="53" fillId="4" borderId="7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horizontal="left" vertical="center" wrapText="1" readingOrder="1"/>
    </xf>
    <xf numFmtId="0" fontId="4" fillId="4" borderId="15" xfId="3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vertical="center" wrapText="1"/>
    </xf>
    <xf numFmtId="168" fontId="4" fillId="4" borderId="7" xfId="0" applyNumberFormat="1" applyFont="1" applyFill="1" applyBorder="1" applyAlignment="1">
      <alignment horizont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52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15" xfId="3" applyFont="1" applyFill="1" applyBorder="1" applyAlignment="1">
      <alignment horizontal="center" vertical="center"/>
    </xf>
    <xf numFmtId="0" fontId="4" fillId="4" borderId="13" xfId="3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53" fillId="4" borderId="15" xfId="0" applyFont="1" applyFill="1" applyBorder="1" applyAlignment="1">
      <alignment horizontal="left" vertical="center" wrapText="1"/>
    </xf>
    <xf numFmtId="0" fontId="53" fillId="4" borderId="16" xfId="0" applyFont="1" applyFill="1" applyBorder="1" applyAlignment="1">
      <alignment horizontal="left" vertical="center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040;%20&#1044;&#1088;&#1091;&#1095;&#1080;&#1085;&#1080;&#1085;&#1072;\&#1044;&#1088;&#1091;&#1095;&#1080;&#1085;&#1080;&#1085;&#1072;\&#1072;&#1088;&#1093;&#1080;&#1074;&#1095;&#1080;&#1082;\2023%20&#1040;&#1091;&#1088;&#1091;&#1084;\2023&#1075;&#1086;&#1076;%20&#1055;&#1060;&#1061;&#1044;%20&#1040;&#1091;&#1088;&#1091;&#1084;%202709.xlsx" TargetMode="External"/><Relationship Id="rId1" Type="http://schemas.openxmlformats.org/officeDocument/2006/relationships/externalLinkPath" Target="/&#1040;%20&#1044;&#1088;&#1091;&#1095;&#1080;&#1085;&#1080;&#1085;&#1072;/&#1044;&#1088;&#1091;&#1095;&#1080;&#1085;&#1080;&#1085;&#1072;/&#1072;&#1088;&#1093;&#1080;&#1074;&#1095;&#1080;&#1082;/2023%20&#1040;&#1091;&#1088;&#1091;&#1084;/2023&#1075;&#1086;&#1076;%20&#1055;&#1060;&#1061;&#1044;%20&#1040;&#1091;&#1088;&#1091;&#1084;%2027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460">
          <cell r="J460">
            <v>11200</v>
          </cell>
        </row>
        <row r="461">
          <cell r="J461">
            <v>35200</v>
          </cell>
        </row>
        <row r="462">
          <cell r="J462">
            <v>12800</v>
          </cell>
        </row>
        <row r="463">
          <cell r="J463">
            <v>31085.000000000004</v>
          </cell>
        </row>
        <row r="464">
          <cell r="J464">
            <v>13570</v>
          </cell>
        </row>
        <row r="465">
          <cell r="J465">
            <v>3680.86</v>
          </cell>
        </row>
        <row r="466">
          <cell r="J466">
            <v>459.4</v>
          </cell>
        </row>
        <row r="467">
          <cell r="J467">
            <v>2547.84</v>
          </cell>
        </row>
        <row r="468">
          <cell r="J468">
            <v>160.72</v>
          </cell>
        </row>
        <row r="469">
          <cell r="J469">
            <v>2435</v>
          </cell>
        </row>
        <row r="470">
          <cell r="J470">
            <v>218.78</v>
          </cell>
        </row>
        <row r="471">
          <cell r="J471">
            <v>1144</v>
          </cell>
        </row>
        <row r="472">
          <cell r="J472">
            <v>5187.4799999999996</v>
          </cell>
        </row>
        <row r="473">
          <cell r="J473">
            <v>227.85</v>
          </cell>
        </row>
        <row r="474">
          <cell r="J474">
            <v>751.1</v>
          </cell>
        </row>
        <row r="475">
          <cell r="J475">
            <v>558.81999999999994</v>
          </cell>
        </row>
        <row r="476">
          <cell r="J476">
            <v>4982.2700000000004</v>
          </cell>
        </row>
        <row r="477">
          <cell r="J477">
            <v>8002.78</v>
          </cell>
        </row>
        <row r="478">
          <cell r="J478">
            <v>726.43</v>
          </cell>
        </row>
        <row r="479">
          <cell r="J479">
            <v>1234.5899999999999</v>
          </cell>
        </row>
        <row r="480">
          <cell r="J480">
            <v>1479.6</v>
          </cell>
        </row>
        <row r="481">
          <cell r="J481">
            <v>2467.15</v>
          </cell>
        </row>
        <row r="482">
          <cell r="J482">
            <v>18923.98</v>
          </cell>
        </row>
        <row r="483">
          <cell r="J483">
            <v>284.16000000000003</v>
          </cell>
        </row>
        <row r="484">
          <cell r="J484">
            <v>5296.7</v>
          </cell>
        </row>
        <row r="485">
          <cell r="J485">
            <v>1480.31</v>
          </cell>
        </row>
        <row r="486">
          <cell r="J486">
            <v>528.41999999999996</v>
          </cell>
        </row>
        <row r="487">
          <cell r="J487">
            <v>2658.05</v>
          </cell>
        </row>
        <row r="488">
          <cell r="J488">
            <v>896.31</v>
          </cell>
        </row>
        <row r="489">
          <cell r="J489">
            <v>52000</v>
          </cell>
        </row>
        <row r="490">
          <cell r="J490">
            <v>15000</v>
          </cell>
        </row>
        <row r="491">
          <cell r="J491">
            <v>15000</v>
          </cell>
        </row>
        <row r="492">
          <cell r="J492">
            <v>33000</v>
          </cell>
        </row>
        <row r="493">
          <cell r="J493">
            <v>14000</v>
          </cell>
        </row>
        <row r="494">
          <cell r="J494">
            <v>8500</v>
          </cell>
        </row>
        <row r="495">
          <cell r="J495">
            <v>15000</v>
          </cell>
        </row>
        <row r="496">
          <cell r="J496">
            <v>4000</v>
          </cell>
        </row>
        <row r="497">
          <cell r="J497">
            <v>1000</v>
          </cell>
        </row>
        <row r="498">
          <cell r="J498">
            <v>4000</v>
          </cell>
        </row>
        <row r="499">
          <cell r="J499">
            <v>5000</v>
          </cell>
        </row>
        <row r="500">
          <cell r="J500">
            <v>4000</v>
          </cell>
        </row>
        <row r="501">
          <cell r="J501">
            <v>5500</v>
          </cell>
        </row>
        <row r="502">
          <cell r="J502">
            <v>2200</v>
          </cell>
        </row>
        <row r="503">
          <cell r="J503">
            <v>1700</v>
          </cell>
        </row>
        <row r="504">
          <cell r="J504">
            <v>6250</v>
          </cell>
        </row>
        <row r="505">
          <cell r="J505">
            <v>3500</v>
          </cell>
        </row>
        <row r="506">
          <cell r="J506">
            <v>8750</v>
          </cell>
        </row>
        <row r="507">
          <cell r="J507">
            <v>2100</v>
          </cell>
        </row>
        <row r="508">
          <cell r="J508">
            <v>3500</v>
          </cell>
        </row>
        <row r="509">
          <cell r="J509">
            <v>450</v>
          </cell>
        </row>
        <row r="510">
          <cell r="J510">
            <v>22400</v>
          </cell>
        </row>
        <row r="511">
          <cell r="J511">
            <v>12600</v>
          </cell>
        </row>
        <row r="512">
          <cell r="J512">
            <v>5600</v>
          </cell>
        </row>
        <row r="513">
          <cell r="J513">
            <v>2400</v>
          </cell>
        </row>
        <row r="515">
          <cell r="J515">
            <v>10000</v>
          </cell>
        </row>
        <row r="516">
          <cell r="J516">
            <v>9800</v>
          </cell>
        </row>
        <row r="517">
          <cell r="J517">
            <v>19600</v>
          </cell>
        </row>
        <row r="518">
          <cell r="J518">
            <v>6000</v>
          </cell>
        </row>
        <row r="519">
          <cell r="J519">
            <v>6500</v>
          </cell>
        </row>
        <row r="520">
          <cell r="J520">
            <v>2500</v>
          </cell>
        </row>
        <row r="521">
          <cell r="J521">
            <v>30200</v>
          </cell>
        </row>
        <row r="522">
          <cell r="J522">
            <v>47840</v>
          </cell>
        </row>
        <row r="526">
          <cell r="J526">
            <v>11990</v>
          </cell>
        </row>
        <row r="527">
          <cell r="J527">
            <v>41000</v>
          </cell>
        </row>
        <row r="528">
          <cell r="J528">
            <v>1950</v>
          </cell>
        </row>
        <row r="530">
          <cell r="J530">
            <v>44000</v>
          </cell>
        </row>
        <row r="531">
          <cell r="J531">
            <v>7700</v>
          </cell>
        </row>
        <row r="532">
          <cell r="J532">
            <v>19000</v>
          </cell>
        </row>
        <row r="533">
          <cell r="J533">
            <v>7000</v>
          </cell>
        </row>
        <row r="538">
          <cell r="J538">
            <v>2000</v>
          </cell>
        </row>
        <row r="540">
          <cell r="J540">
            <v>3000</v>
          </cell>
        </row>
        <row r="541">
          <cell r="J541">
            <v>1900</v>
          </cell>
        </row>
        <row r="542">
          <cell r="J542">
            <v>340</v>
          </cell>
        </row>
        <row r="543">
          <cell r="J543">
            <v>20517</v>
          </cell>
        </row>
        <row r="544">
          <cell r="J544">
            <v>4000.4</v>
          </cell>
        </row>
        <row r="546">
          <cell r="J546">
            <v>130000</v>
          </cell>
        </row>
        <row r="547">
          <cell r="J547">
            <v>1500</v>
          </cell>
        </row>
        <row r="548">
          <cell r="J548">
            <v>18000</v>
          </cell>
        </row>
        <row r="549">
          <cell r="J549">
            <v>13000</v>
          </cell>
        </row>
        <row r="550">
          <cell r="J550">
            <v>21000</v>
          </cell>
        </row>
        <row r="551">
          <cell r="J551">
            <v>9000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I7" sqref="I7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7" width="13.5" style="35" customWidth="1"/>
    <col min="18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500" t="s">
        <v>296</v>
      </c>
      <c r="J1" s="500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501" t="s">
        <v>448</v>
      </c>
      <c r="J2" s="501"/>
      <c r="K2" s="501"/>
      <c r="L2" s="161"/>
      <c r="M2" s="161"/>
    </row>
    <row r="3" spans="1:17" ht="30" x14ac:dyDescent="0.25">
      <c r="A3" s="181" t="s">
        <v>211</v>
      </c>
      <c r="B3" s="502" t="str">
        <f>'инновации+добровольчество0,3643'!B3:H3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2"/>
      <c r="D3" s="502"/>
      <c r="E3" s="502"/>
      <c r="F3" s="502"/>
      <c r="G3" s="502"/>
      <c r="H3" s="502"/>
      <c r="I3" s="502"/>
      <c r="J3" s="502"/>
      <c r="K3" s="502"/>
    </row>
    <row r="4" spans="1:17" x14ac:dyDescent="0.25">
      <c r="A4" s="41"/>
      <c r="B4" s="503"/>
      <c r="C4" s="503"/>
      <c r="D4" s="503"/>
      <c r="E4" s="503"/>
      <c r="F4" s="503"/>
      <c r="G4" s="503"/>
      <c r="H4" s="503"/>
      <c r="I4" s="503"/>
      <c r="J4" s="503"/>
      <c r="K4" s="503"/>
    </row>
    <row r="5" spans="1:17" ht="15" customHeight="1" x14ac:dyDescent="0.25">
      <c r="A5" s="504" t="s">
        <v>85</v>
      </c>
      <c r="B5" s="505"/>
      <c r="C5" s="505"/>
      <c r="D5" s="504" t="s">
        <v>32</v>
      </c>
      <c r="E5" s="496"/>
      <c r="F5" s="496"/>
      <c r="G5" s="496"/>
      <c r="H5" s="496"/>
      <c r="I5" s="496"/>
      <c r="J5" s="497"/>
      <c r="K5" s="498" t="s">
        <v>33</v>
      </c>
    </row>
    <row r="6" spans="1:17" ht="120" customHeight="1" x14ac:dyDescent="0.25">
      <c r="A6" s="182" t="s">
        <v>94</v>
      </c>
      <c r="B6" s="182" t="s">
        <v>95</v>
      </c>
      <c r="C6" s="182" t="s">
        <v>96</v>
      </c>
      <c r="D6" s="183" t="s">
        <v>97</v>
      </c>
      <c r="E6" s="184" t="s">
        <v>98</v>
      </c>
      <c r="F6" s="185" t="s">
        <v>103</v>
      </c>
      <c r="G6" s="186" t="s">
        <v>99</v>
      </c>
      <c r="H6" s="186" t="s">
        <v>102</v>
      </c>
      <c r="I6" s="186" t="s">
        <v>100</v>
      </c>
      <c r="J6" s="186" t="s">
        <v>101</v>
      </c>
      <c r="K6" s="499"/>
    </row>
    <row r="7" spans="1:17" x14ac:dyDescent="0.25">
      <c r="A7" s="187">
        <v>1</v>
      </c>
      <c r="B7" s="187">
        <v>2</v>
      </c>
      <c r="C7" s="187">
        <v>3</v>
      </c>
      <c r="D7" s="188">
        <v>4</v>
      </c>
      <c r="E7" s="189">
        <v>5</v>
      </c>
      <c r="F7" s="189">
        <v>6</v>
      </c>
      <c r="G7" s="189">
        <v>7</v>
      </c>
      <c r="H7" s="189">
        <v>8</v>
      </c>
      <c r="I7" s="189">
        <v>9</v>
      </c>
      <c r="J7" s="189">
        <v>10</v>
      </c>
      <c r="K7" s="190">
        <v>11</v>
      </c>
      <c r="N7" s="36"/>
    </row>
    <row r="8" spans="1:17" x14ac:dyDescent="0.25">
      <c r="A8" s="368">
        <f>'инновации+добровольчество0,3643'!I27</f>
        <v>2204608.2137579229</v>
      </c>
      <c r="B8" s="368">
        <f>'инновации+добровольчество0,3643'!G56</f>
        <v>145719.99599200001</v>
      </c>
      <c r="C8" s="368">
        <f>'инновации+добровольчество0,3643'!G73</f>
        <v>550000</v>
      </c>
      <c r="D8" s="369">
        <f>'инновации+добровольчество0,3643'!F117</f>
        <v>138434</v>
      </c>
      <c r="E8" s="370">
        <f>'инновации+добровольчество0,3643'!F169</f>
        <v>145756.43</v>
      </c>
      <c r="F8" s="5">
        <v>0</v>
      </c>
      <c r="G8" s="370">
        <f>'инновации+добровольчество0,3643'!G137</f>
        <v>88087.742762000009</v>
      </c>
      <c r="H8" s="370">
        <f>'инновации+добровольчество0,3643'!G145</f>
        <v>21129.4</v>
      </c>
      <c r="I8" s="370">
        <f>'инновации+добровольчество0,3643'!I86+'инновации+добровольчество0,3643'!F97</f>
        <v>1293631.3188552081</v>
      </c>
      <c r="J8" s="5">
        <f>'инновации+добровольчество0,3643'!G103+'инновации+добровольчество0,3643'!F257</f>
        <v>333325.39966700005</v>
      </c>
      <c r="K8" s="191">
        <f>SUM(A8:J8)</f>
        <v>4920692.5010341313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2" t="s">
        <v>212</v>
      </c>
      <c r="B10" s="502" t="str">
        <f>'патриотика0,3643'!B3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2"/>
      <c r="D10" s="502"/>
      <c r="E10" s="502"/>
      <c r="F10" s="502"/>
      <c r="G10" s="502"/>
      <c r="H10" s="502"/>
      <c r="I10" s="502"/>
      <c r="J10" s="502"/>
      <c r="K10" s="502"/>
      <c r="N10" s="180" t="s">
        <v>179</v>
      </c>
      <c r="O10" s="165">
        <v>13837858.91</v>
      </c>
      <c r="P10" s="36">
        <f>K8+K15+K23</f>
        <v>13837858.907335475</v>
      </c>
      <c r="Q10" s="36">
        <f>O10-P10</f>
        <v>2.6645250618457794E-3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168</v>
      </c>
      <c r="O11" s="36">
        <f>N7+N15+N23</f>
        <v>0</v>
      </c>
      <c r="P11" s="36"/>
    </row>
    <row r="12" spans="1:17" ht="45" customHeight="1" x14ac:dyDescent="0.25">
      <c r="A12" s="504" t="s">
        <v>85</v>
      </c>
      <c r="B12" s="505"/>
      <c r="C12" s="505"/>
      <c r="D12" s="504" t="s">
        <v>32</v>
      </c>
      <c r="E12" s="496"/>
      <c r="F12" s="496"/>
      <c r="G12" s="496"/>
      <c r="H12" s="496"/>
      <c r="I12" s="496"/>
      <c r="J12" s="497"/>
      <c r="K12" s="498" t="s">
        <v>33</v>
      </c>
      <c r="P12" s="36"/>
    </row>
    <row r="13" spans="1:17" ht="85.15" customHeight="1" x14ac:dyDescent="0.25">
      <c r="A13" s="182" t="s">
        <v>94</v>
      </c>
      <c r="B13" s="182" t="s">
        <v>95</v>
      </c>
      <c r="C13" s="182" t="s">
        <v>96</v>
      </c>
      <c r="D13" s="183" t="s">
        <v>97</v>
      </c>
      <c r="E13" s="184" t="s">
        <v>98</v>
      </c>
      <c r="F13" s="185" t="s">
        <v>103</v>
      </c>
      <c r="G13" s="186" t="s">
        <v>99</v>
      </c>
      <c r="H13" s="186" t="s">
        <v>102</v>
      </c>
      <c r="I13" s="186" t="s">
        <v>100</v>
      </c>
      <c r="J13" s="186" t="s">
        <v>101</v>
      </c>
      <c r="K13" s="499"/>
      <c r="P13" s="36"/>
    </row>
    <row r="14" spans="1:17" x14ac:dyDescent="0.25">
      <c r="A14" s="193">
        <v>1</v>
      </c>
      <c r="B14" s="193">
        <v>2</v>
      </c>
      <c r="C14" s="193">
        <v>3</v>
      </c>
      <c r="D14" s="194">
        <v>4</v>
      </c>
      <c r="E14" s="189">
        <v>6</v>
      </c>
      <c r="F14" s="189">
        <v>7</v>
      </c>
      <c r="G14" s="189">
        <v>8</v>
      </c>
      <c r="H14" s="189">
        <v>9</v>
      </c>
      <c r="I14" s="189">
        <v>10</v>
      </c>
      <c r="J14" s="189">
        <v>11</v>
      </c>
      <c r="K14" s="190">
        <v>12</v>
      </c>
    </row>
    <row r="15" spans="1:17" x14ac:dyDescent="0.25">
      <c r="A15" s="368">
        <f>'патриотика0,3643'!I26</f>
        <v>2204608.2115824483</v>
      </c>
      <c r="B15" s="368">
        <f>'патриотика0,3643'!G172</f>
        <v>145719.99599200001</v>
      </c>
      <c r="C15" s="368">
        <f>'патриотика0,3643'!G104</f>
        <v>1185340</v>
      </c>
      <c r="D15" s="369">
        <f>'патриотика0,3643'!F153</f>
        <v>138434</v>
      </c>
      <c r="E15" s="370">
        <f>'патриотика0,3643'!F214</f>
        <v>145756.43</v>
      </c>
      <c r="F15" s="5">
        <v>0</v>
      </c>
      <c r="G15" s="370">
        <f>'патриотика0,3643'!G182</f>
        <v>88087.742762000009</v>
      </c>
      <c r="H15" s="370">
        <f>'патриотика0,3643'!G190</f>
        <v>21129.4</v>
      </c>
      <c r="I15" s="370">
        <f>'патриотика0,3643'!I119+'патриотика0,3643'!F129</f>
        <v>1293631.3288552081</v>
      </c>
      <c r="J15" s="5">
        <f>'патриотика0,3643'!G159+'патриотика0,3643'!F302</f>
        <v>333325.38966700004</v>
      </c>
      <c r="K15" s="191">
        <f>SUM(A15:J15)</f>
        <v>5556032.4988586558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2" t="s">
        <v>212</v>
      </c>
      <c r="B18" s="502" t="str">
        <f>'таланты+инициативы0,2714'!B3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2"/>
      <c r="D18" s="502"/>
      <c r="E18" s="502"/>
      <c r="F18" s="502"/>
      <c r="G18" s="502"/>
      <c r="H18" s="502"/>
      <c r="I18" s="502"/>
      <c r="J18" s="502"/>
      <c r="K18" s="502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93" t="s">
        <v>42</v>
      </c>
      <c r="B20" s="494"/>
      <c r="C20" s="494"/>
      <c r="D20" s="495" t="s">
        <v>32</v>
      </c>
      <c r="E20" s="496"/>
      <c r="F20" s="496"/>
      <c r="G20" s="496"/>
      <c r="H20" s="496"/>
      <c r="I20" s="496"/>
      <c r="J20" s="497"/>
      <c r="K20" s="498" t="s">
        <v>33</v>
      </c>
    </row>
    <row r="21" spans="1:14" ht="84" customHeight="1" x14ac:dyDescent="0.25">
      <c r="A21" s="185" t="s">
        <v>94</v>
      </c>
      <c r="B21" s="185" t="s">
        <v>95</v>
      </c>
      <c r="C21" s="185" t="s">
        <v>96</v>
      </c>
      <c r="D21" s="195" t="s">
        <v>97</v>
      </c>
      <c r="E21" s="196" t="s">
        <v>98</v>
      </c>
      <c r="F21" s="185" t="s">
        <v>103</v>
      </c>
      <c r="G21" s="197" t="s">
        <v>99</v>
      </c>
      <c r="H21" s="197" t="s">
        <v>102</v>
      </c>
      <c r="I21" s="197" t="s">
        <v>100</v>
      </c>
      <c r="J21" s="197" t="s">
        <v>101</v>
      </c>
      <c r="K21" s="499"/>
    </row>
    <row r="22" spans="1:14" x14ac:dyDescent="0.25">
      <c r="A22" s="193">
        <v>1</v>
      </c>
      <c r="B22" s="193">
        <v>2</v>
      </c>
      <c r="C22" s="193">
        <v>3</v>
      </c>
      <c r="D22" s="188">
        <v>5</v>
      </c>
      <c r="E22" s="189">
        <v>6</v>
      </c>
      <c r="F22" s="189">
        <v>7</v>
      </c>
      <c r="G22" s="189">
        <v>8</v>
      </c>
      <c r="H22" s="189">
        <v>9</v>
      </c>
      <c r="I22" s="189">
        <v>10</v>
      </c>
      <c r="J22" s="189">
        <v>11</v>
      </c>
      <c r="K22" s="190">
        <v>12</v>
      </c>
    </row>
    <row r="23" spans="1:14" x14ac:dyDescent="0.25">
      <c r="A23" s="368">
        <f>'таланты+инициативы0,2714'!I26</f>
        <v>1641817.2381951041</v>
      </c>
      <c r="B23" s="368">
        <f>'таланты+инициативы0,2714'!G143</f>
        <v>108559.998016</v>
      </c>
      <c r="C23" s="368">
        <f>'таланты+инициативы0,2714'!G81</f>
        <v>105010</v>
      </c>
      <c r="D23" s="369">
        <f>'таланты+инициативы0,2714'!F128</f>
        <v>103131.99999999999</v>
      </c>
      <c r="E23" s="370">
        <f>'таланты+инициативы0,2714'!F185</f>
        <v>108587.14</v>
      </c>
      <c r="F23" s="5">
        <v>0</v>
      </c>
      <c r="G23" s="370">
        <f>'таланты+инициативы0,2714'!G154</f>
        <v>65624.523715999996</v>
      </c>
      <c r="H23" s="370">
        <f>'таланты+инициативы0,2714'!G162</f>
        <v>15741.199999999999</v>
      </c>
      <c r="I23" s="370">
        <f>'таланты+инициативы0,2714'!I103+'таланты+инициативы0,2714'!F114</f>
        <v>964337.59684958379</v>
      </c>
      <c r="J23" s="5">
        <f>'таланты+инициативы0,2714'!G133+'таланты+инициативы0,2714'!F273</f>
        <v>248324.21066600006</v>
      </c>
      <c r="K23" s="448">
        <f>SUM(A23:J23)</f>
        <v>3361133.907442688</v>
      </c>
      <c r="N23" s="36"/>
    </row>
    <row r="24" spans="1:14" x14ac:dyDescent="0.25">
      <c r="A24" s="41"/>
      <c r="B24" s="41"/>
      <c r="C24" s="41"/>
      <c r="D24" s="175"/>
      <c r="E24" s="41"/>
      <c r="F24" s="41"/>
      <c r="G24" s="41"/>
      <c r="H24" s="41"/>
      <c r="I24" s="41"/>
      <c r="J24" s="41"/>
      <c r="K24" s="41"/>
    </row>
    <row r="26" spans="1:14" x14ac:dyDescent="0.25">
      <c r="B26" s="165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195"/>
  <sheetViews>
    <sheetView topLeftCell="A33" workbookViewId="0">
      <selection activeCell="D2" sqref="D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A1">
        <f ca="1">A1:E177</f>
        <v>0</v>
      </c>
      <c r="D1" s="529" t="s">
        <v>449</v>
      </c>
      <c r="E1" s="529"/>
      <c r="F1" s="134"/>
    </row>
    <row r="3" spans="1:6" x14ac:dyDescent="0.25">
      <c r="A3" s="530" t="s">
        <v>126</v>
      </c>
      <c r="B3" s="530"/>
      <c r="C3" s="530"/>
      <c r="D3" s="530"/>
      <c r="E3" s="530"/>
    </row>
    <row r="4" spans="1:6" ht="35.450000000000003" customHeight="1" x14ac:dyDescent="0.25">
      <c r="A4" s="531" t="s">
        <v>150</v>
      </c>
      <c r="B4" s="531"/>
      <c r="C4" s="531"/>
      <c r="D4" s="531"/>
      <c r="E4" s="531"/>
    </row>
    <row r="5" spans="1:6" ht="60" x14ac:dyDescent="0.25">
      <c r="A5" s="97" t="s">
        <v>127</v>
      </c>
      <c r="B5" s="98" t="s">
        <v>128</v>
      </c>
      <c r="C5" s="97" t="s">
        <v>129</v>
      </c>
      <c r="D5" s="97" t="s">
        <v>130</v>
      </c>
      <c r="E5" s="97" t="s">
        <v>131</v>
      </c>
    </row>
    <row r="6" spans="1:6" x14ac:dyDescent="0.25">
      <c r="A6" s="99">
        <v>1</v>
      </c>
      <c r="B6" s="99">
        <v>2</v>
      </c>
      <c r="C6" s="99">
        <v>3</v>
      </c>
      <c r="D6" s="99">
        <v>4</v>
      </c>
      <c r="E6" s="99">
        <v>5</v>
      </c>
    </row>
    <row r="7" spans="1:6" ht="37.15" customHeight="1" x14ac:dyDescent="0.25">
      <c r="A7" s="513" t="s">
        <v>50</v>
      </c>
      <c r="B7" s="512" t="s">
        <v>151</v>
      </c>
      <c r="C7" s="532" t="s">
        <v>132</v>
      </c>
      <c r="D7" s="533"/>
      <c r="E7" s="534"/>
    </row>
    <row r="8" spans="1:6" ht="14.45" customHeight="1" x14ac:dyDescent="0.25">
      <c r="A8" s="513"/>
      <c r="B8" s="512"/>
      <c r="C8" s="535" t="s">
        <v>133</v>
      </c>
      <c r="D8" s="536"/>
      <c r="E8" s="537"/>
    </row>
    <row r="9" spans="1:6" ht="15" customHeight="1" x14ac:dyDescent="0.25">
      <c r="A9" s="513"/>
      <c r="B9" s="512"/>
      <c r="C9" s="102" t="s">
        <v>140</v>
      </c>
      <c r="D9" s="101" t="s">
        <v>134</v>
      </c>
      <c r="E9" s="218">
        <f>'инновации+добровольчество0,3643'!D26</f>
        <v>2.0400800000000001</v>
      </c>
    </row>
    <row r="10" spans="1:6" ht="15" customHeight="1" x14ac:dyDescent="0.25">
      <c r="A10" s="513"/>
      <c r="B10" s="512"/>
      <c r="C10" s="102" t="s">
        <v>93</v>
      </c>
      <c r="D10" s="100" t="s">
        <v>134</v>
      </c>
      <c r="E10" s="218">
        <f>'инновации+добровольчество0,3643'!D25</f>
        <v>0.36430000000000001</v>
      </c>
    </row>
    <row r="11" spans="1:6" ht="13.9" customHeight="1" x14ac:dyDescent="0.25">
      <c r="A11" s="513"/>
      <c r="B11" s="512"/>
      <c r="C11" s="526" t="s">
        <v>144</v>
      </c>
      <c r="D11" s="527"/>
      <c r="E11" s="528"/>
    </row>
    <row r="12" spans="1:6" ht="40.15" customHeight="1" x14ac:dyDescent="0.25">
      <c r="A12" s="513"/>
      <c r="B12" s="512"/>
      <c r="C12" s="112" t="s">
        <v>196</v>
      </c>
      <c r="D12" s="94" t="s">
        <v>39</v>
      </c>
      <c r="E12" s="213">
        <f>'инновации+добровольчество0,3643'!E53</f>
        <v>33.515599999999999</v>
      </c>
    </row>
    <row r="13" spans="1:6" ht="25.15" customHeight="1" x14ac:dyDescent="0.25">
      <c r="A13" s="513"/>
      <c r="B13" s="512"/>
      <c r="C13" s="112" t="s">
        <v>197</v>
      </c>
      <c r="D13" s="94" t="s">
        <v>39</v>
      </c>
      <c r="E13" s="213">
        <f>'инновации+добровольчество0,3643'!E54</f>
        <v>8.3788999999999998</v>
      </c>
    </row>
    <row r="14" spans="1:6" ht="21" customHeight="1" x14ac:dyDescent="0.25">
      <c r="A14" s="513"/>
      <c r="B14" s="512"/>
      <c r="C14" s="112" t="s">
        <v>198</v>
      </c>
      <c r="D14" s="94" t="s">
        <v>39</v>
      </c>
      <c r="E14" s="213">
        <f>'инновации+добровольчество0,3643'!E55</f>
        <v>25.136700000000001</v>
      </c>
    </row>
    <row r="15" spans="1:6" ht="32.25" customHeight="1" x14ac:dyDescent="0.25">
      <c r="A15" s="513"/>
      <c r="B15" s="512"/>
      <c r="C15" s="514" t="s">
        <v>145</v>
      </c>
      <c r="D15" s="515"/>
      <c r="E15" s="516"/>
    </row>
    <row r="16" spans="1:6" ht="30" customHeight="1" x14ac:dyDescent="0.25">
      <c r="A16" s="513"/>
      <c r="B16" s="512"/>
      <c r="C16" s="104" t="str">
        <f>'инновации+добровольчество0,3643'!A64</f>
        <v>Поддержка проектов в рамках грантового конкурса Территория Красноярский край</v>
      </c>
      <c r="D16" s="94" t="str">
        <f>'инновации+добровольчество0,3643'!D64</f>
        <v>дог</v>
      </c>
      <c r="E16" s="160">
        <f>'инновации+добровольчество0,3643'!E64</f>
        <v>1</v>
      </c>
    </row>
    <row r="17" spans="1:5" ht="16.899999999999999" customHeight="1" x14ac:dyDescent="0.25">
      <c r="A17" s="513"/>
      <c r="B17" s="512"/>
      <c r="C17" s="104" t="str">
        <f>'инновации+добровольчество0,3643'!A65</f>
        <v>Наградная продукция к мероприятим</v>
      </c>
      <c r="D17" s="94" t="str">
        <f>'инновации+добровольчество0,3643'!D65</f>
        <v>дог</v>
      </c>
      <c r="E17" s="160">
        <f>'инновации+добровольчество0,3643'!E65</f>
        <v>200</v>
      </c>
    </row>
    <row r="18" spans="1:5" ht="16.899999999999999" hidden="1" customHeight="1" x14ac:dyDescent="0.25">
      <c r="A18" s="513"/>
      <c r="B18" s="512"/>
      <c r="C18" s="104" t="str">
        <f>'инновации+добровольчество0,3643'!A67</f>
        <v>Проживание детей 6 чел</v>
      </c>
      <c r="D18" s="94" t="str">
        <f>'инновации+добровольчество0,3643'!D67</f>
        <v>сут</v>
      </c>
      <c r="E18" s="160">
        <f>'инновации+добровольчество0,3643'!E67</f>
        <v>0</v>
      </c>
    </row>
    <row r="19" spans="1:5" ht="16.899999999999999" hidden="1" customHeight="1" x14ac:dyDescent="0.25">
      <c r="A19" s="513"/>
      <c r="B19" s="512"/>
      <c r="C19" s="104" t="str">
        <f>'инновации+добровольчество0,3643'!A68</f>
        <v>Суточные детей 6 чел</v>
      </c>
      <c r="D19" s="94" t="str">
        <f>'инновации+добровольчество0,3643'!D68</f>
        <v>сут</v>
      </c>
      <c r="E19" s="160">
        <f>'инновации+добровольчество0,3643'!E68</f>
        <v>0</v>
      </c>
    </row>
    <row r="20" spans="1:5" ht="16.899999999999999" hidden="1" customHeight="1" x14ac:dyDescent="0.25">
      <c r="A20" s="513"/>
      <c r="B20" s="512"/>
      <c r="C20" s="104" t="str">
        <f>'инновации+добровольчество0,3643'!A69</f>
        <v>Проекты Территория 2020</v>
      </c>
      <c r="D20" s="94">
        <f>'инновации+добровольчество0,3643'!D69</f>
        <v>0</v>
      </c>
      <c r="E20" s="160">
        <f>'инновации+добровольчество0,3643'!E69</f>
        <v>0</v>
      </c>
    </row>
    <row r="21" spans="1:5" ht="16.899999999999999" hidden="1" customHeight="1" x14ac:dyDescent="0.25">
      <c r="A21" s="513"/>
      <c r="B21" s="512"/>
      <c r="C21" s="104" t="str">
        <f>'инновации+добровольчество0,3643'!A70</f>
        <v>Расходные материалы по проектам</v>
      </c>
      <c r="D21" s="94" t="str">
        <f>'инновации+добровольчество0,3643'!D70</f>
        <v>шт</v>
      </c>
      <c r="E21" s="160">
        <f>'инновации+добровольчество0,3643'!E70</f>
        <v>0</v>
      </c>
    </row>
    <row r="22" spans="1:5" ht="16.899999999999999" hidden="1" customHeight="1" x14ac:dyDescent="0.25">
      <c r="A22" s="513"/>
      <c r="B22" s="512"/>
      <c r="C22" s="104" t="str">
        <f>'инновации+добровольчество0,3643'!A71</f>
        <v>Расходные материалы к мероприятиям</v>
      </c>
      <c r="D22" s="94" t="str">
        <f>'инновации+добровольчество0,3643'!D71</f>
        <v>шт</v>
      </c>
      <c r="E22" s="160">
        <f>'инновации+добровольчество0,3643'!E71</f>
        <v>0</v>
      </c>
    </row>
    <row r="23" spans="1:5" ht="16.899999999999999" hidden="1" customHeight="1" x14ac:dyDescent="0.25">
      <c r="A23" s="513"/>
      <c r="B23" s="512"/>
      <c r="C23" s="104" t="str">
        <f>'инновации+добровольчество0,3643'!A72</f>
        <v>Наградная продукция к мероприятим</v>
      </c>
      <c r="D23" s="94" t="str">
        <f>'инновации+добровольчество0,3643'!D72</f>
        <v>шт</v>
      </c>
      <c r="E23" s="160">
        <f>'инновации+добровольчество0,3643'!E72</f>
        <v>0</v>
      </c>
    </row>
    <row r="24" spans="1:5" ht="16.899999999999999" hidden="1" customHeight="1" x14ac:dyDescent="0.25">
      <c r="A24" s="513"/>
      <c r="B24" s="512"/>
      <c r="C24" s="104" t="e">
        <f>'инновации+добровольчество0,3643'!#REF!</f>
        <v>#REF!</v>
      </c>
      <c r="D24" s="94" t="e">
        <f>'инновации+добровольчество0,3643'!#REF!</f>
        <v>#REF!</v>
      </c>
      <c r="E24" s="160" t="e">
        <f>'инновации+добровольчество0,3643'!#REF!</f>
        <v>#REF!</v>
      </c>
    </row>
    <row r="25" spans="1:5" ht="16.899999999999999" hidden="1" customHeight="1" x14ac:dyDescent="0.25">
      <c r="A25" s="513"/>
      <c r="B25" s="512"/>
      <c r="C25" s="104" t="e">
        <f>'инновации+добровольчество0,3643'!#REF!</f>
        <v>#REF!</v>
      </c>
      <c r="D25" s="94" t="e">
        <f>'инновации+добровольчество0,3643'!#REF!</f>
        <v>#REF!</v>
      </c>
      <c r="E25" s="160" t="e">
        <f>'инновации+добровольчество0,3643'!#REF!</f>
        <v>#REF!</v>
      </c>
    </row>
    <row r="26" spans="1:5" ht="16.899999999999999" hidden="1" customHeight="1" x14ac:dyDescent="0.25">
      <c r="A26" s="513"/>
      <c r="B26" s="512"/>
      <c r="C26" s="104" t="e">
        <f>'инновации+добровольчество0,3643'!#REF!</f>
        <v>#REF!</v>
      </c>
      <c r="D26" s="94" t="e">
        <f>'инновации+добровольчество0,3643'!#REF!</f>
        <v>#REF!</v>
      </c>
      <c r="E26" s="160" t="e">
        <f>'инновации+добровольчество0,3643'!#REF!</f>
        <v>#REF!</v>
      </c>
    </row>
    <row r="27" spans="1:5" ht="16.899999999999999" hidden="1" customHeight="1" x14ac:dyDescent="0.25">
      <c r="A27" s="513"/>
      <c r="B27" s="512"/>
      <c r="C27" s="104" t="e">
        <f>'инновации+добровольчество0,3643'!#REF!</f>
        <v>#REF!</v>
      </c>
      <c r="D27" s="94" t="e">
        <f>'инновации+добровольчество0,3643'!#REF!</f>
        <v>#REF!</v>
      </c>
      <c r="E27" s="160" t="e">
        <f>'инновации+добровольчество0,3643'!#REF!</f>
        <v>#REF!</v>
      </c>
    </row>
    <row r="28" spans="1:5" ht="21.75" hidden="1" customHeight="1" x14ac:dyDescent="0.25">
      <c r="A28" s="513"/>
      <c r="B28" s="512"/>
      <c r="C28" s="104" t="e">
        <f>'инновации+добровольчество0,3643'!#REF!</f>
        <v>#REF!</v>
      </c>
      <c r="D28" s="94" t="e">
        <f>'инновации+добровольчество0,3643'!#REF!</f>
        <v>#REF!</v>
      </c>
      <c r="E28" s="160" t="e">
        <f>'инновации+добровольчество0,3643'!#REF!</f>
        <v>#REF!</v>
      </c>
    </row>
    <row r="29" spans="1:5" ht="14.45" hidden="1" customHeight="1" x14ac:dyDescent="0.25">
      <c r="A29" s="513"/>
      <c r="B29" s="512"/>
      <c r="C29" s="104" t="e">
        <f>'инновации+добровольчество0,3643'!#REF!</f>
        <v>#REF!</v>
      </c>
      <c r="D29" s="94" t="e">
        <f>'инновации+добровольчество0,3643'!#REF!</f>
        <v>#REF!</v>
      </c>
      <c r="E29" s="160" t="e">
        <f>'инновации+добровольчество0,3643'!#REF!</f>
        <v>#REF!</v>
      </c>
    </row>
    <row r="30" spans="1:5" ht="12" hidden="1" customHeight="1" x14ac:dyDescent="0.25">
      <c r="A30" s="513"/>
      <c r="B30" s="512"/>
      <c r="C30" s="104" t="e">
        <f>'инновации+добровольчество0,3643'!#REF!</f>
        <v>#REF!</v>
      </c>
      <c r="D30" s="94" t="e">
        <f>'инновации+добровольчество0,3643'!#REF!</f>
        <v>#REF!</v>
      </c>
      <c r="E30" s="160" t="e">
        <f>'инновации+добровольчество0,3643'!#REF!</f>
        <v>#REF!</v>
      </c>
    </row>
    <row r="31" spans="1:5" ht="31.5" hidden="1" customHeight="1" x14ac:dyDescent="0.25">
      <c r="A31" s="513"/>
      <c r="B31" s="512"/>
      <c r="C31" s="104" t="e">
        <f>'инновации+добровольчество0,3643'!#REF!</f>
        <v>#REF!</v>
      </c>
      <c r="D31" s="94" t="e">
        <f>'инновации+добровольчество0,3643'!#REF!</f>
        <v>#REF!</v>
      </c>
      <c r="E31" s="160" t="e">
        <f>'инновации+добровольчество0,3643'!#REF!</f>
        <v>#REF!</v>
      </c>
    </row>
    <row r="32" spans="1:5" ht="31.15" hidden="1" customHeight="1" x14ac:dyDescent="0.25">
      <c r="A32" s="513"/>
      <c r="B32" s="512"/>
      <c r="C32" s="104" t="e">
        <f>'инновации+добровольчество0,3643'!#REF!</f>
        <v>#REF!</v>
      </c>
      <c r="D32" s="94" t="e">
        <f>'инновации+добровольчество0,3643'!#REF!</f>
        <v>#REF!</v>
      </c>
      <c r="E32" s="160" t="e">
        <f>'инновации+добровольчество0,3643'!#REF!</f>
        <v>#REF!</v>
      </c>
    </row>
    <row r="33" spans="1:5" ht="12" customHeight="1" x14ac:dyDescent="0.25">
      <c r="A33" s="513"/>
      <c r="B33" s="512"/>
      <c r="C33" s="517" t="s">
        <v>135</v>
      </c>
      <c r="D33" s="518"/>
      <c r="E33" s="519"/>
    </row>
    <row r="34" spans="1:5" ht="12" customHeight="1" x14ac:dyDescent="0.25">
      <c r="A34" s="513"/>
      <c r="B34" s="512"/>
      <c r="C34" s="517" t="s">
        <v>136</v>
      </c>
      <c r="D34" s="518"/>
      <c r="E34" s="519"/>
    </row>
    <row r="35" spans="1:5" ht="21" customHeight="1" x14ac:dyDescent="0.25">
      <c r="A35" s="513"/>
      <c r="B35" s="512"/>
      <c r="C35" s="11" t="str">
        <f>'инновации+добровольчество0,3643'!A111</f>
        <v>Теплоэнергия</v>
      </c>
      <c r="D35" s="108" t="str">
        <f>'инновации+добровольчество0,3643'!B111</f>
        <v>Гкал</v>
      </c>
      <c r="E35" s="109">
        <f>'инновации+добровольчество0,3643'!D111</f>
        <v>20.0365</v>
      </c>
    </row>
    <row r="36" spans="1:5" ht="12" customHeight="1" x14ac:dyDescent="0.25">
      <c r="A36" s="513"/>
      <c r="B36" s="512"/>
      <c r="C36" s="11" t="str">
        <f>'инновации+добровольчество0,3643'!A112</f>
        <v xml:space="preserve">Водоснабжение </v>
      </c>
      <c r="D36" s="108" t="str">
        <f>'инновации+добровольчество0,3643'!B112</f>
        <v>м2</v>
      </c>
      <c r="E36" s="109">
        <f>'инновации+добровольчество0,3643'!D112</f>
        <v>38.725090000000002</v>
      </c>
    </row>
    <row r="37" spans="1:5" ht="12" customHeight="1" x14ac:dyDescent="0.25">
      <c r="A37" s="513"/>
      <c r="B37" s="512"/>
      <c r="C37" s="11" t="str">
        <f>'инновации+добровольчество0,3643'!A113</f>
        <v>Водоотведение (септик)</v>
      </c>
      <c r="D37" s="108" t="str">
        <f>'инновации+добровольчество0,3643'!B113</f>
        <v>м3</v>
      </c>
      <c r="E37" s="109">
        <f>'инновации+добровольчество0,3643'!D113</f>
        <v>1.0929</v>
      </c>
    </row>
    <row r="38" spans="1:5" ht="12" customHeight="1" x14ac:dyDescent="0.25">
      <c r="A38" s="513"/>
      <c r="B38" s="512"/>
      <c r="C38" s="11" t="str">
        <f>'инновации+добровольчество0,3643'!A114</f>
        <v>Электроэнергия</v>
      </c>
      <c r="D38" s="108" t="str">
        <f>'инновации+добровольчество0,3643'!B114</f>
        <v>МВт час.</v>
      </c>
      <c r="E38" s="109">
        <f>'инновации+добровольчество0,3643'!D114</f>
        <v>2.1858</v>
      </c>
    </row>
    <row r="39" spans="1:5" ht="12" customHeight="1" x14ac:dyDescent="0.25">
      <c r="A39" s="513"/>
      <c r="B39" s="512"/>
      <c r="C39" s="11" t="str">
        <f>'инновации+добровольчество0,3643'!A115</f>
        <v>ТКО</v>
      </c>
      <c r="D39" s="108" t="str">
        <f>'инновации+добровольчество0,3643'!B115</f>
        <v>договор</v>
      </c>
      <c r="E39" s="109">
        <f>'инновации+добровольчество0,3643'!D115</f>
        <v>2.9144000000000001</v>
      </c>
    </row>
    <row r="40" spans="1:5" ht="14.45" customHeight="1" x14ac:dyDescent="0.25">
      <c r="A40" s="513"/>
      <c r="B40" s="512"/>
      <c r="C40" s="233" t="str">
        <f>'инновации+добровольчество0,3643'!A116</f>
        <v>Электроэнергия (резерв)</v>
      </c>
      <c r="D40" s="233" t="str">
        <f>'инновации+добровольчество0,3643'!B116</f>
        <v>МВт час.</v>
      </c>
      <c r="E40" s="108">
        <f>'инновации+добровольчество0,3643'!D116</f>
        <v>1.8215000000000001</v>
      </c>
    </row>
    <row r="41" spans="1:5" ht="26.25" customHeight="1" x14ac:dyDescent="0.25">
      <c r="A41" s="513"/>
      <c r="B41" s="512"/>
      <c r="C41" s="520" t="s">
        <v>137</v>
      </c>
      <c r="D41" s="521"/>
      <c r="E41" s="522"/>
    </row>
    <row r="42" spans="1:5" ht="14.45" customHeight="1" x14ac:dyDescent="0.25">
      <c r="A42" s="513"/>
      <c r="B42" s="512"/>
      <c r="C42" s="116" t="str">
        <f>'инновации+добровольчество0,3643'!A154</f>
        <v>Профилактическая дезинфекция</v>
      </c>
      <c r="D42" s="108" t="s">
        <v>22</v>
      </c>
      <c r="E42" s="219">
        <f>'инновации+добровольчество0,3643'!D154</f>
        <v>0.36430000000000001</v>
      </c>
    </row>
    <row r="43" spans="1:5" ht="14.45" customHeight="1" x14ac:dyDescent="0.25">
      <c r="A43" s="513"/>
      <c r="B43" s="512"/>
      <c r="C43" s="116" t="str">
        <f>'инновации+добровольчество0,3643'!A155</f>
        <v>Комплексное обслуживание системы тепловодоснабжения и конструктивных элементов здания</v>
      </c>
      <c r="D43" s="108" t="s">
        <v>22</v>
      </c>
      <c r="E43" s="219">
        <f>'инновации+добровольчество0,3643'!D155</f>
        <v>0.36430000000000001</v>
      </c>
    </row>
    <row r="44" spans="1:5" ht="14.45" customHeight="1" x14ac:dyDescent="0.25">
      <c r="A44" s="513"/>
      <c r="B44" s="512"/>
      <c r="C44" s="116" t="str">
        <f>'инновации+добровольчество0,3643'!A156</f>
        <v>Договор осмотр технического состояния автомобиля</v>
      </c>
      <c r="D44" s="108" t="s">
        <v>22</v>
      </c>
      <c r="E44" s="219">
        <f>'инновации+добровольчество0,3643'!D156</f>
        <v>76.503</v>
      </c>
    </row>
    <row r="45" spans="1:5" ht="14.45" customHeight="1" x14ac:dyDescent="0.25">
      <c r="A45" s="513"/>
      <c r="B45" s="512"/>
      <c r="C45" s="116" t="str">
        <f>'инновации+добровольчество0,3643'!A157</f>
        <v>Техническое обслуживание систем пожарной сигнализации</v>
      </c>
      <c r="D45" s="108" t="s">
        <v>22</v>
      </c>
      <c r="E45" s="219">
        <f>'инновации+добровольчество0,3643'!D157</f>
        <v>4.3715999999999999</v>
      </c>
    </row>
    <row r="46" spans="1:5" ht="14.45" customHeight="1" x14ac:dyDescent="0.25">
      <c r="A46" s="513"/>
      <c r="B46" s="512"/>
      <c r="C46" s="116" t="str">
        <f>'инновации+добровольчество0,3643'!A158</f>
        <v>ремонт оборудования</v>
      </c>
      <c r="D46" s="108" t="s">
        <v>22</v>
      </c>
      <c r="E46" s="219">
        <f>'инновации+добровольчество0,3643'!D158</f>
        <v>0</v>
      </c>
    </row>
    <row r="47" spans="1:5" ht="22.5" customHeight="1" x14ac:dyDescent="0.25">
      <c r="A47" s="513"/>
      <c r="B47" s="512"/>
      <c r="C47" s="116" t="str">
        <f>'инновации+добровольчество0,3643'!A159</f>
        <v>Возмещение мед осмотра (112/212)</v>
      </c>
      <c r="D47" s="108" t="s">
        <v>22</v>
      </c>
      <c r="E47" s="219">
        <f>'инновации+добровольчество0,3643'!D159</f>
        <v>1.0929</v>
      </c>
    </row>
    <row r="48" spans="1:5" ht="19.5" customHeight="1" x14ac:dyDescent="0.25">
      <c r="A48" s="513"/>
      <c r="B48" s="512"/>
      <c r="C48" s="116" t="str">
        <f>'инновации+добровольчество0,3643'!A160</f>
        <v>Услуги СЕМИС подписка</v>
      </c>
      <c r="D48" s="108" t="s">
        <v>22</v>
      </c>
      <c r="E48" s="219">
        <f>'инновации+добровольчество0,3643'!D160</f>
        <v>0.36430000000000001</v>
      </c>
    </row>
    <row r="49" spans="1:5" ht="13.5" customHeight="1" x14ac:dyDescent="0.25">
      <c r="A49" s="513"/>
      <c r="B49" s="512"/>
      <c r="C49" s="116" t="str">
        <f>'инновации+добровольчество0,3643'!A161</f>
        <v>Предрейсовое медицинское обследование 200дней*85руб</v>
      </c>
      <c r="D49" s="108" t="s">
        <v>22</v>
      </c>
      <c r="E49" s="219">
        <f>'инновации+добровольчество0,3643'!D161</f>
        <v>89.982100000000003</v>
      </c>
    </row>
    <row r="50" spans="1:5" ht="17.25" customHeight="1" x14ac:dyDescent="0.25">
      <c r="A50" s="513"/>
      <c r="B50" s="512"/>
      <c r="C50" s="116" t="str">
        <f>'инновации+добровольчество0,3643'!A162</f>
        <v xml:space="preserve">Услуги охраны  </v>
      </c>
      <c r="D50" s="108" t="s">
        <v>22</v>
      </c>
      <c r="E50" s="219">
        <f>'инновации+добровольчество0,3643'!D162</f>
        <v>4.3715999999999999</v>
      </c>
    </row>
    <row r="51" spans="1:5" ht="35.25" customHeight="1" x14ac:dyDescent="0.25">
      <c r="A51" s="513"/>
      <c r="B51" s="512"/>
      <c r="C51" s="116" t="str">
        <f>'инновации+добровольчество0,3643'!A163</f>
        <v>Услуги мониторинга пожарной сигнализации</v>
      </c>
      <c r="D51" s="108" t="s">
        <v>22</v>
      </c>
      <c r="E51" s="219">
        <f>'инновации+добровольчество0,3643'!D163</f>
        <v>4.3715999999999999</v>
      </c>
    </row>
    <row r="52" spans="1:5" ht="20.25" customHeight="1" x14ac:dyDescent="0.25">
      <c r="A52" s="513"/>
      <c r="B52" s="512"/>
      <c r="C52" s="116" t="str">
        <f>'инновации+добровольчество0,3643'!A164</f>
        <v>Обслуживание систем охранных средств сигнализации (тревожная кнопка)</v>
      </c>
      <c r="D52" s="108" t="s">
        <v>22</v>
      </c>
      <c r="E52" s="219">
        <f>'инновации+добровольчество0,3643'!D164</f>
        <v>4.3715999999999999</v>
      </c>
    </row>
    <row r="53" spans="1:5" x14ac:dyDescent="0.25">
      <c r="A53" s="513"/>
      <c r="B53" s="512"/>
      <c r="C53" s="116" t="str">
        <f>'инновации+добровольчество0,3643'!A165</f>
        <v>Договор на медосмотр при устройстве на работу</v>
      </c>
      <c r="D53" s="108" t="s">
        <v>22</v>
      </c>
      <c r="E53" s="219">
        <f>'инновации+добровольчество0,3643'!D165</f>
        <v>1.4572000000000001</v>
      </c>
    </row>
    <row r="54" spans="1:5" ht="18" customHeight="1" x14ac:dyDescent="0.25">
      <c r="A54" s="513"/>
      <c r="B54" s="512"/>
      <c r="C54" s="116" t="str">
        <f>'инновации+добровольчество0,3643'!A166</f>
        <v>Страховая премия по полису ОСАГО за УАЗ</v>
      </c>
      <c r="D54" s="108" t="s">
        <v>22</v>
      </c>
      <c r="E54" s="219">
        <f>'инновации+добровольчество0,3643'!D166</f>
        <v>0.36430000000000001</v>
      </c>
    </row>
    <row r="55" spans="1:5" ht="12" customHeight="1" x14ac:dyDescent="0.25">
      <c r="A55" s="513"/>
      <c r="B55" s="512"/>
      <c r="C55" s="116" t="str">
        <f>'инновации+добровольчество0,3643'!A167</f>
        <v>Приобретение программного обеспечения</v>
      </c>
      <c r="D55" s="108" t="s">
        <v>22</v>
      </c>
      <c r="E55" s="219">
        <f>'инновации+добровольчество0,3643'!D167</f>
        <v>0.36430000000000001</v>
      </c>
    </row>
    <row r="56" spans="1:5" ht="21" customHeight="1" x14ac:dyDescent="0.25">
      <c r="A56" s="513"/>
      <c r="B56" s="512"/>
      <c r="C56" s="116" t="str">
        <f>'инновации+добровольчество0,3643'!A168</f>
        <v>Оплата пени, штрафов (853/291)</v>
      </c>
      <c r="D56" s="108" t="s">
        <v>22</v>
      </c>
      <c r="E56" s="219">
        <f>'инновации+добровольчество0,3643'!D168</f>
        <v>1.8215000000000001</v>
      </c>
    </row>
    <row r="57" spans="1:5" ht="21" hidden="1" customHeight="1" x14ac:dyDescent="0.25">
      <c r="A57" s="513"/>
      <c r="B57" s="512"/>
      <c r="C57" s="116" t="e">
        <f>'инновации+добровольчество0,3643'!#REF!</f>
        <v>#REF!</v>
      </c>
      <c r="D57" s="108" t="s">
        <v>22</v>
      </c>
      <c r="E57" s="219" t="e">
        <f>'инновации+добровольчество0,3643'!#REF!</f>
        <v>#REF!</v>
      </c>
    </row>
    <row r="58" spans="1:5" ht="21" hidden="1" customHeight="1" x14ac:dyDescent="0.25">
      <c r="A58" s="513"/>
      <c r="B58" s="512"/>
      <c r="C58" s="116" t="e">
        <f>'инновации+добровольчество0,3643'!#REF!</f>
        <v>#REF!</v>
      </c>
      <c r="D58" s="108" t="s">
        <v>22</v>
      </c>
      <c r="E58" s="219" t="e">
        <f>'инновации+добровольчество0,3643'!#REF!</f>
        <v>#REF!</v>
      </c>
    </row>
    <row r="59" spans="1:5" ht="21" hidden="1" customHeight="1" x14ac:dyDescent="0.25">
      <c r="A59" s="513"/>
      <c r="B59" s="512"/>
      <c r="C59" s="116" t="e">
        <f>'инновации+добровольчество0,3643'!#REF!</f>
        <v>#REF!</v>
      </c>
      <c r="D59" s="108" t="s">
        <v>22</v>
      </c>
      <c r="E59" s="219" t="e">
        <f>'инновации+добровольчество0,3643'!#REF!</f>
        <v>#REF!</v>
      </c>
    </row>
    <row r="60" spans="1:5" ht="21" hidden="1" customHeight="1" x14ac:dyDescent="0.25">
      <c r="A60" s="513"/>
      <c r="B60" s="512"/>
      <c r="C60" s="116" t="e">
        <f>'инновации+добровольчество0,3643'!#REF!</f>
        <v>#REF!</v>
      </c>
      <c r="D60" s="108" t="s">
        <v>22</v>
      </c>
      <c r="E60" s="219" t="e">
        <f>'инновации+добровольчество0,3643'!#REF!</f>
        <v>#REF!</v>
      </c>
    </row>
    <row r="61" spans="1:5" ht="21" hidden="1" customHeight="1" x14ac:dyDescent="0.25">
      <c r="A61" s="513"/>
      <c r="B61" s="512"/>
      <c r="C61" s="116" t="e">
        <f>'инновации+добровольчество0,3643'!#REF!</f>
        <v>#REF!</v>
      </c>
      <c r="D61" s="108" t="s">
        <v>22</v>
      </c>
      <c r="E61" s="219" t="e">
        <f>'инновации+добровольчество0,3643'!#REF!</f>
        <v>#REF!</v>
      </c>
    </row>
    <row r="62" spans="1:5" ht="21" hidden="1" customHeight="1" x14ac:dyDescent="0.25">
      <c r="A62" s="513"/>
      <c r="B62" s="512"/>
      <c r="C62" s="116" t="e">
        <f>'инновации+добровольчество0,3643'!#REF!</f>
        <v>#REF!</v>
      </c>
      <c r="D62" s="108" t="s">
        <v>22</v>
      </c>
      <c r="E62" s="219" t="e">
        <f>'инновации+добровольчество0,3643'!#REF!</f>
        <v>#REF!</v>
      </c>
    </row>
    <row r="63" spans="1:5" ht="21" hidden="1" customHeight="1" x14ac:dyDescent="0.25">
      <c r="A63" s="513"/>
      <c r="B63" s="512"/>
      <c r="C63" s="116" t="e">
        <f>'инновации+добровольчество0,3643'!#REF!</f>
        <v>#REF!</v>
      </c>
      <c r="D63" s="108" t="s">
        <v>22</v>
      </c>
      <c r="E63" s="219" t="e">
        <f>'инновации+добровольчество0,3643'!#REF!</f>
        <v>#REF!</v>
      </c>
    </row>
    <row r="64" spans="1:5" ht="21" hidden="1" customHeight="1" x14ac:dyDescent="0.25">
      <c r="A64" s="513"/>
      <c r="B64" s="512"/>
      <c r="C64" s="116" t="e">
        <f>'инновации+добровольчество0,3643'!#REF!</f>
        <v>#REF!</v>
      </c>
      <c r="D64" s="108" t="s">
        <v>22</v>
      </c>
      <c r="E64" s="219" t="e">
        <f>'инновации+добровольчество0,3643'!#REF!</f>
        <v>#REF!</v>
      </c>
    </row>
    <row r="65" spans="1:5" ht="21" hidden="1" customHeight="1" x14ac:dyDescent="0.25">
      <c r="A65" s="513"/>
      <c r="B65" s="512"/>
      <c r="C65" s="116" t="e">
        <f>'инновации+добровольчество0,3643'!#REF!</f>
        <v>#REF!</v>
      </c>
      <c r="D65" s="108" t="s">
        <v>22</v>
      </c>
      <c r="E65" s="219" t="e">
        <f>'инновации+добровольчество0,3643'!#REF!</f>
        <v>#REF!</v>
      </c>
    </row>
    <row r="66" spans="1:5" ht="21" hidden="1" customHeight="1" x14ac:dyDescent="0.25">
      <c r="A66" s="513"/>
      <c r="B66" s="512"/>
      <c r="C66" s="116" t="e">
        <f>'инновации+добровольчество0,3643'!#REF!</f>
        <v>#REF!</v>
      </c>
      <c r="D66" s="108" t="s">
        <v>22</v>
      </c>
      <c r="E66" s="219" t="e">
        <f>'инновации+добровольчество0,3643'!#REF!</f>
        <v>#REF!</v>
      </c>
    </row>
    <row r="67" spans="1:5" ht="21" hidden="1" customHeight="1" x14ac:dyDescent="0.25">
      <c r="A67" s="513"/>
      <c r="B67" s="512"/>
      <c r="C67" s="116" t="e">
        <f>'инновации+добровольчество0,3643'!#REF!</f>
        <v>#REF!</v>
      </c>
      <c r="D67" s="108" t="s">
        <v>22</v>
      </c>
      <c r="E67" s="219" t="e">
        <f>'инновации+добровольчество0,3643'!#REF!</f>
        <v>#REF!</v>
      </c>
    </row>
    <row r="68" spans="1:5" ht="21" hidden="1" customHeight="1" x14ac:dyDescent="0.25">
      <c r="A68" s="513"/>
      <c r="B68" s="512"/>
      <c r="C68" s="116" t="e">
        <f>'инновации+добровольчество0,3643'!#REF!</f>
        <v>#REF!</v>
      </c>
      <c r="D68" s="108" t="s">
        <v>22</v>
      </c>
      <c r="E68" s="219" t="e">
        <f>'инновации+добровольчество0,3643'!#REF!</f>
        <v>#REF!</v>
      </c>
    </row>
    <row r="69" spans="1:5" ht="21" hidden="1" customHeight="1" x14ac:dyDescent="0.25">
      <c r="A69" s="513"/>
      <c r="B69" s="512"/>
      <c r="C69" s="116" t="e">
        <f>'инновации+добровольчество0,3643'!#REF!</f>
        <v>#REF!</v>
      </c>
      <c r="D69" s="108" t="s">
        <v>22</v>
      </c>
      <c r="E69" s="219" t="e">
        <f>'инновации+добровольчество0,3643'!#REF!</f>
        <v>#REF!</v>
      </c>
    </row>
    <row r="70" spans="1:5" ht="21" hidden="1" customHeight="1" x14ac:dyDescent="0.25">
      <c r="A70" s="513"/>
      <c r="B70" s="512"/>
      <c r="C70" s="116" t="e">
        <f>'инновации+добровольчество0,3643'!#REF!</f>
        <v>#REF!</v>
      </c>
      <c r="D70" s="108" t="s">
        <v>22</v>
      </c>
      <c r="E70" s="219" t="e">
        <f>'инновации+добровольчество0,3643'!#REF!</f>
        <v>#REF!</v>
      </c>
    </row>
    <row r="71" spans="1:5" ht="21" hidden="1" customHeight="1" x14ac:dyDescent="0.25">
      <c r="A71" s="513"/>
      <c r="B71" s="512"/>
      <c r="C71" s="116" t="e">
        <f>'инновации+добровольчество0,3643'!#REF!</f>
        <v>#REF!</v>
      </c>
      <c r="D71" s="108" t="s">
        <v>22</v>
      </c>
      <c r="E71" s="219" t="e">
        <f>'инновации+добровольчество0,3643'!#REF!</f>
        <v>#REF!</v>
      </c>
    </row>
    <row r="72" spans="1:5" ht="21" hidden="1" customHeight="1" x14ac:dyDescent="0.25">
      <c r="A72" s="513"/>
      <c r="B72" s="512"/>
      <c r="C72" s="116" t="e">
        <f>'инновации+добровольчество0,3643'!#REF!</f>
        <v>#REF!</v>
      </c>
      <c r="D72" s="108" t="s">
        <v>22</v>
      </c>
      <c r="E72" s="219" t="e">
        <f>'инновации+добровольчество0,3643'!#REF!</f>
        <v>#REF!</v>
      </c>
    </row>
    <row r="73" spans="1:5" ht="21" customHeight="1" x14ac:dyDescent="0.25">
      <c r="A73" s="513"/>
      <c r="B73" s="512"/>
      <c r="C73" s="523" t="s">
        <v>138</v>
      </c>
      <c r="D73" s="524"/>
      <c r="E73" s="525"/>
    </row>
    <row r="74" spans="1:5" ht="21" customHeight="1" x14ac:dyDescent="0.25">
      <c r="A74" s="513"/>
      <c r="B74" s="512"/>
      <c r="C74" s="110" t="str">
        <f>'инновации+добровольчество0,3643'!A132</f>
        <v>переговоры по району, мин</v>
      </c>
      <c r="D74" s="135" t="s">
        <v>86</v>
      </c>
      <c r="E74" s="219">
        <f>'инновации+добровольчество0,3643'!D132</f>
        <v>94.546778999999987</v>
      </c>
    </row>
    <row r="75" spans="1:5" ht="21" customHeight="1" x14ac:dyDescent="0.25">
      <c r="A75" s="513"/>
      <c r="B75" s="512"/>
      <c r="C75" s="110" t="str">
        <f>'инновации+добровольчество0,3643'!A133</f>
        <v>Переговоры за пределами района,мин</v>
      </c>
      <c r="D75" s="135" t="s">
        <v>22</v>
      </c>
      <c r="E75" s="219">
        <f>'инновации+добровольчество0,3643'!D133</f>
        <v>5.4645000000000001</v>
      </c>
    </row>
    <row r="76" spans="1:5" ht="21" customHeight="1" x14ac:dyDescent="0.25">
      <c r="A76" s="513"/>
      <c r="B76" s="512"/>
      <c r="C76" s="110" t="str">
        <f>'инновации+добровольчество0,3643'!A134</f>
        <v>Абоненская плата за услуги связи, номеров</v>
      </c>
      <c r="D76" s="135" t="s">
        <v>37</v>
      </c>
      <c r="E76" s="219">
        <f>'инновации+добровольчество0,3643'!D134</f>
        <v>0.36430000000000001</v>
      </c>
    </row>
    <row r="77" spans="1:5" ht="21" customHeight="1" x14ac:dyDescent="0.25">
      <c r="A77" s="513"/>
      <c r="B77" s="512"/>
      <c r="C77" s="110" t="str">
        <f>'инновации+добровольчество0,3643'!A135</f>
        <v xml:space="preserve">Абоненская плата за услуги Интернет </v>
      </c>
      <c r="D77" s="135" t="s">
        <v>37</v>
      </c>
      <c r="E77" s="219">
        <f>'инновации+добровольчество0,3643'!D135</f>
        <v>0.36430000000000001</v>
      </c>
    </row>
    <row r="78" spans="1:5" ht="21" customHeight="1" x14ac:dyDescent="0.25">
      <c r="A78" s="513"/>
      <c r="B78" s="512"/>
      <c r="C78" s="110" t="str">
        <f>'инновации+добровольчество0,3643'!A136</f>
        <v>Почтовые конверты</v>
      </c>
      <c r="D78" s="135" t="s">
        <v>38</v>
      </c>
      <c r="E78" s="219">
        <f>'инновации+добровольчество0,3643'!D136</f>
        <v>0</v>
      </c>
    </row>
    <row r="79" spans="1:5" ht="16.149999999999999" hidden="1" customHeight="1" x14ac:dyDescent="0.25">
      <c r="A79" s="513"/>
      <c r="B79" s="512"/>
      <c r="C79" s="110" t="e">
        <f>'инновации+добровольчество0,3643'!#REF!</f>
        <v>#REF!</v>
      </c>
      <c r="D79" s="135" t="s">
        <v>38</v>
      </c>
      <c r="E79" s="219" t="e">
        <f>'инновации+добровольчество0,3643'!#REF!</f>
        <v>#REF!</v>
      </c>
    </row>
    <row r="80" spans="1:5" ht="15.6" hidden="1" customHeight="1" x14ac:dyDescent="0.25">
      <c r="A80" s="513"/>
      <c r="B80" s="512"/>
      <c r="C80" s="110" t="e">
        <f>'инновации+добровольчество0,3643'!#REF!</f>
        <v>#REF!</v>
      </c>
      <c r="D80" s="135" t="s">
        <v>22</v>
      </c>
      <c r="E80" s="219" t="e">
        <f>'инновации+добровольчество0,3643'!#REF!</f>
        <v>#REF!</v>
      </c>
    </row>
    <row r="81" spans="1:5" s="136" customFormat="1" ht="12" customHeight="1" x14ac:dyDescent="0.2">
      <c r="A81" s="513"/>
      <c r="B81" s="512"/>
      <c r="C81" s="526" t="s">
        <v>139</v>
      </c>
      <c r="D81" s="527"/>
      <c r="E81" s="528"/>
    </row>
    <row r="82" spans="1:5" s="136" customFormat="1" ht="12" customHeight="1" x14ac:dyDescent="0.2">
      <c r="A82" s="513"/>
      <c r="B82" s="512"/>
      <c r="C82" s="103" t="s">
        <v>187</v>
      </c>
      <c r="D82" s="137" t="s">
        <v>143</v>
      </c>
      <c r="E82" s="220">
        <f>'инновации+добровольчество0,3643'!D82</f>
        <v>0.36430000000000001</v>
      </c>
    </row>
    <row r="83" spans="1:5" s="136" customFormat="1" ht="12" customHeight="1" x14ac:dyDescent="0.2">
      <c r="A83" s="513"/>
      <c r="B83" s="512"/>
      <c r="C83" s="111" t="s">
        <v>141</v>
      </c>
      <c r="D83" s="137" t="s">
        <v>134</v>
      </c>
      <c r="E83" s="220">
        <f>'инновации+добровольчество0,3643'!D83</f>
        <v>0.36430000000000001</v>
      </c>
    </row>
    <row r="84" spans="1:5" s="136" customFormat="1" ht="12" customHeight="1" x14ac:dyDescent="0.2">
      <c r="A84" s="513"/>
      <c r="B84" s="512"/>
      <c r="C84" s="111" t="s">
        <v>87</v>
      </c>
      <c r="D84" s="137" t="s">
        <v>134</v>
      </c>
      <c r="E84" s="220">
        <f>'инновации+добровольчество0,3643'!D84</f>
        <v>0.18215000000000001</v>
      </c>
    </row>
    <row r="85" spans="1:5" s="136" customFormat="1" ht="12" customHeight="1" x14ac:dyDescent="0.2">
      <c r="A85" s="513"/>
      <c r="B85" s="512"/>
      <c r="C85" s="111" t="s">
        <v>142</v>
      </c>
      <c r="D85" s="137" t="s">
        <v>134</v>
      </c>
      <c r="E85" s="220">
        <f>'инновации+добровольчество0,3643'!D85</f>
        <v>0.36430000000000001</v>
      </c>
    </row>
    <row r="86" spans="1:5" s="136" customFormat="1" ht="12" customHeight="1" x14ac:dyDescent="0.2">
      <c r="A86" s="513"/>
      <c r="B86" s="512"/>
      <c r="C86" s="506" t="s">
        <v>146</v>
      </c>
      <c r="D86" s="507"/>
      <c r="E86" s="508"/>
    </row>
    <row r="87" spans="1:5" s="136" customFormat="1" ht="12" customHeight="1" x14ac:dyDescent="0.2">
      <c r="A87" s="513"/>
      <c r="B87" s="512"/>
      <c r="C87" s="380" t="str">
        <f>'инновации+добровольчество0,3643'!A102</f>
        <v>Пособие по уходу за ребенком до 3-х лет</v>
      </c>
      <c r="D87" s="113" t="s">
        <v>122</v>
      </c>
      <c r="E87" s="217">
        <f>E82</f>
        <v>0.36430000000000001</v>
      </c>
    </row>
    <row r="88" spans="1:5" s="136" customFormat="1" ht="12" hidden="1" customHeight="1" x14ac:dyDescent="0.2">
      <c r="A88" s="513"/>
      <c r="B88" s="512"/>
      <c r="C88" s="526" t="s">
        <v>147</v>
      </c>
      <c r="D88" s="527"/>
      <c r="E88" s="528"/>
    </row>
    <row r="89" spans="1:5" s="136" customFormat="1" ht="12" hidden="1" customHeight="1" x14ac:dyDescent="0.2">
      <c r="A89" s="513"/>
      <c r="B89" s="512"/>
      <c r="C89" s="112" t="s">
        <v>196</v>
      </c>
      <c r="D89" s="94" t="s">
        <v>39</v>
      </c>
      <c r="E89" s="213">
        <f>'инновации+добровольчество0,3643'!E123</f>
        <v>0.36430000000000001</v>
      </c>
    </row>
    <row r="90" spans="1:5" ht="28.15" hidden="1" customHeight="1" x14ac:dyDescent="0.25">
      <c r="A90" s="513"/>
      <c r="B90" s="512"/>
      <c r="C90" s="112" t="s">
        <v>197</v>
      </c>
      <c r="D90" s="94" t="s">
        <v>39</v>
      </c>
      <c r="E90" s="213">
        <f>'инновации+добровольчество0,3643'!E124</f>
        <v>0.33500000000000002</v>
      </c>
    </row>
    <row r="91" spans="1:5" ht="28.15" hidden="1" customHeight="1" x14ac:dyDescent="0.25">
      <c r="A91" s="513"/>
      <c r="B91" s="512"/>
      <c r="C91" s="112" t="s">
        <v>198</v>
      </c>
      <c r="D91" s="94" t="s">
        <v>39</v>
      </c>
      <c r="E91" s="213">
        <f>'инновации+добровольчество0,3643'!E125</f>
        <v>0.33500000000000002</v>
      </c>
    </row>
    <row r="92" spans="1:5" ht="28.15" customHeight="1" x14ac:dyDescent="0.25">
      <c r="A92" s="513"/>
      <c r="B92" s="512"/>
      <c r="C92" s="509" t="s">
        <v>148</v>
      </c>
      <c r="D92" s="510"/>
      <c r="E92" s="511"/>
    </row>
    <row r="93" spans="1:5" ht="28.15" hidden="1" customHeight="1" x14ac:dyDescent="0.25">
      <c r="A93" s="513"/>
      <c r="B93" s="512"/>
      <c r="C93" s="114" t="str">
        <f>'инновации+добровольчество0,3643'!A143</f>
        <v>Проезд к месту учебы</v>
      </c>
      <c r="D93" s="115" t="s">
        <v>122</v>
      </c>
      <c r="E93" s="79">
        <f>'инновации+добровольчество0,3643'!D143</f>
        <v>0</v>
      </c>
    </row>
    <row r="94" spans="1:5" ht="22.15" customHeight="1" x14ac:dyDescent="0.25">
      <c r="A94" s="513"/>
      <c r="B94" s="512"/>
      <c r="C94" s="114" t="str">
        <f>'инновации+добровольчество0,3643'!A144</f>
        <v>Провоз груза 2000 кг (1 кг=9,50 руб)</v>
      </c>
      <c r="D94" s="115" t="s">
        <v>22</v>
      </c>
      <c r="E94" s="79">
        <f>'инновации+добровольчество0,3643'!D144</f>
        <v>0.36430000000000001</v>
      </c>
    </row>
    <row r="95" spans="1:5" ht="18" customHeight="1" x14ac:dyDescent="0.25">
      <c r="A95" s="513"/>
      <c r="B95" s="512"/>
      <c r="C95" s="523" t="s">
        <v>149</v>
      </c>
      <c r="D95" s="524"/>
      <c r="E95" s="525"/>
    </row>
    <row r="96" spans="1:5" ht="18.75" customHeight="1" x14ac:dyDescent="0.25">
      <c r="A96" s="513"/>
      <c r="B96" s="512"/>
      <c r="C96" s="105" t="str">
        <f>'инновации+добровольчество0,3643'!A175</f>
        <v>Обучение персонала</v>
      </c>
      <c r="D96" s="63" t="str">
        <f>'инновации+добровольчество0,3643'!B175</f>
        <v>договор</v>
      </c>
      <c r="E96" s="160">
        <f>'инновации+добровольчество0,3643'!D175</f>
        <v>0.36430000000000001</v>
      </c>
    </row>
    <row r="97" spans="1:5" ht="13.5" customHeight="1" x14ac:dyDescent="0.25">
      <c r="A97" s="513"/>
      <c r="B97" s="512"/>
      <c r="C97" s="105" t="str">
        <f>'инновации+добровольчество0,3643'!A176</f>
        <v>Блок фотобарабана</v>
      </c>
      <c r="D97" s="63" t="str">
        <f>'инновации+добровольчество0,3643'!B176</f>
        <v>шт</v>
      </c>
      <c r="E97" s="160">
        <f>'инновации+добровольчество0,3643'!D176</f>
        <v>0.72860000000000003</v>
      </c>
    </row>
    <row r="98" spans="1:5" ht="16.5" customHeight="1" x14ac:dyDescent="0.25">
      <c r="A98" s="513"/>
      <c r="B98" s="512"/>
      <c r="C98" s="105" t="str">
        <f>'инновации+добровольчество0,3643'!A177</f>
        <v>Чкрнила для принтера</v>
      </c>
      <c r="D98" s="63" t="str">
        <f>'инновации+добровольчество0,3643'!B177</f>
        <v>шт</v>
      </c>
      <c r="E98" s="160">
        <f>'инновации+добровольчество0,3643'!D177</f>
        <v>2.9144000000000001</v>
      </c>
    </row>
    <row r="99" spans="1:5" ht="17.25" customHeight="1" x14ac:dyDescent="0.25">
      <c r="A99" s="513"/>
      <c r="B99" s="512"/>
      <c r="C99" s="105" t="str">
        <f>'инновации+добровольчество0,3643'!A178</f>
        <v>картридж</v>
      </c>
      <c r="D99" s="63" t="str">
        <f>'инновации+добровольчество0,3643'!B178</f>
        <v>шт</v>
      </c>
      <c r="E99" s="160">
        <f>'инновации+добровольчество0,3643'!D178</f>
        <v>1.4572000000000001</v>
      </c>
    </row>
    <row r="100" spans="1:5" ht="18.75" customHeight="1" x14ac:dyDescent="0.25">
      <c r="A100" s="513"/>
      <c r="B100" s="512"/>
      <c r="C100" s="105" t="str">
        <f>'инновации+добровольчество0,3643'!A179</f>
        <v>Комплектующие для настольных игр</v>
      </c>
      <c r="D100" s="63" t="str">
        <f>'инновации+добровольчество0,3643'!B179</f>
        <v>шт</v>
      </c>
      <c r="E100" s="160">
        <f>'инновации+добровольчество0,3643'!D179</f>
        <v>12.0219</v>
      </c>
    </row>
    <row r="101" spans="1:5" ht="18.75" customHeight="1" x14ac:dyDescent="0.25">
      <c r="A101" s="513"/>
      <c r="B101" s="512"/>
      <c r="C101" s="105" t="str">
        <f>'инновации+добровольчество0,3643'!A180</f>
        <v>Настольные игры</v>
      </c>
      <c r="D101" s="63" t="str">
        <f>'инновации+добровольчество0,3643'!B180</f>
        <v>шт</v>
      </c>
      <c r="E101" s="160">
        <f>'инновации+добровольчество0,3643'!D180</f>
        <v>3.6430000000000002</v>
      </c>
    </row>
    <row r="102" spans="1:5" ht="24" customHeight="1" x14ac:dyDescent="0.25">
      <c r="A102" s="513"/>
      <c r="B102" s="512"/>
      <c r="C102" s="105" t="str">
        <f>'инновации+добровольчество0,3643'!A181</f>
        <v xml:space="preserve">Батарейка </v>
      </c>
      <c r="D102" s="63" t="str">
        <f>'инновации+добровольчество0,3643'!B181</f>
        <v>шт</v>
      </c>
      <c r="E102" s="160">
        <f>'инновации+добровольчество0,3643'!D181</f>
        <v>3.2787000000000002</v>
      </c>
    </row>
    <row r="103" spans="1:5" ht="24" customHeight="1" x14ac:dyDescent="0.25">
      <c r="A103" s="513"/>
      <c r="B103" s="512"/>
      <c r="C103" s="105" t="str">
        <f>'инновации+добровольчество0,3643'!A182</f>
        <v>блок для записей</v>
      </c>
      <c r="D103" s="63" t="str">
        <f>'инновации+добровольчество0,3643'!B182</f>
        <v>шт</v>
      </c>
      <c r="E103" s="160">
        <f>'инновации+добровольчество0,3643'!D182</f>
        <v>1.0929</v>
      </c>
    </row>
    <row r="104" spans="1:5" ht="18.600000000000001" customHeight="1" x14ac:dyDescent="0.25">
      <c r="A104" s="513"/>
      <c r="B104" s="512"/>
      <c r="C104" s="105" t="str">
        <f>'инновации+добровольчество0,3643'!A183</f>
        <v>бумага туал</v>
      </c>
      <c r="D104" s="63" t="str">
        <f>'инновации+добровольчество0,3643'!B183</f>
        <v>шт</v>
      </c>
      <c r="E104" s="160">
        <f>'инновации+добровольчество0,3643'!D183</f>
        <v>34.972799999999999</v>
      </c>
    </row>
    <row r="105" spans="1:5" ht="15.6" customHeight="1" x14ac:dyDescent="0.25">
      <c r="A105" s="513"/>
      <c r="B105" s="512"/>
      <c r="C105" s="105" t="str">
        <f>'инновации+добровольчество0,3643'!A184</f>
        <v>губка-ластик</v>
      </c>
      <c r="D105" s="63" t="str">
        <f>'инновации+добровольчество0,3643'!B184</f>
        <v>шт</v>
      </c>
      <c r="E105" s="160">
        <f>'инновации+добровольчество0,3643'!D184</f>
        <v>0.72860000000000003</v>
      </c>
    </row>
    <row r="106" spans="1:5" ht="12" customHeight="1" x14ac:dyDescent="0.25">
      <c r="A106" s="513"/>
      <c r="B106" s="512"/>
      <c r="C106" s="105" t="str">
        <f>'инновации+добровольчество0,3643'!A185</f>
        <v>доска-планшет</v>
      </c>
      <c r="D106" s="63" t="str">
        <f>'инновации+добровольчество0,3643'!B185</f>
        <v>шт</v>
      </c>
      <c r="E106" s="160">
        <f>'инновации+добровольчество0,3643'!D185</f>
        <v>7.2860000000000005</v>
      </c>
    </row>
    <row r="107" spans="1:5" ht="12" customHeight="1" x14ac:dyDescent="0.25">
      <c r="A107" s="513"/>
      <c r="B107" s="512"/>
      <c r="C107" s="105" t="str">
        <f>'инновации+добровольчество0,3643'!A186</f>
        <v>закладки</v>
      </c>
      <c r="D107" s="63" t="str">
        <f>'инновации+добровольчество0,3643'!B186</f>
        <v>шт</v>
      </c>
      <c r="E107" s="160">
        <f>'инновации+добровольчество0,3643'!D186</f>
        <v>0.72860000000000003</v>
      </c>
    </row>
    <row r="108" spans="1:5" ht="12" customHeight="1" x14ac:dyDescent="0.25">
      <c r="A108" s="513"/>
      <c r="B108" s="512"/>
      <c r="C108" s="105" t="str">
        <f>'инновации+добровольчество0,3643'!A187</f>
        <v>карандаш</v>
      </c>
      <c r="D108" s="63" t="str">
        <f>'инновации+добровольчество0,3643'!B187</f>
        <v>шт</v>
      </c>
      <c r="E108" s="160">
        <f>'инновации+добровольчество0,3643'!D187</f>
        <v>36.43</v>
      </c>
    </row>
    <row r="109" spans="1:5" ht="12" customHeight="1" x14ac:dyDescent="0.25">
      <c r="A109" s="513"/>
      <c r="B109" s="512"/>
      <c r="C109" s="105" t="str">
        <f>'инновации+добровольчество0,3643'!A188</f>
        <v>клей</v>
      </c>
      <c r="D109" s="63" t="str">
        <f>'инновации+добровольчество0,3643'!B188</f>
        <v>шт</v>
      </c>
      <c r="E109" s="160">
        <f>'инновации+добровольчество0,3643'!D188</f>
        <v>20.4008</v>
      </c>
    </row>
    <row r="110" spans="1:5" ht="12" customHeight="1" x14ac:dyDescent="0.25">
      <c r="A110" s="513"/>
      <c r="B110" s="512"/>
      <c r="C110" s="105" t="str">
        <f>'инновации+добровольчество0,3643'!A189</f>
        <v>книга отзывов</v>
      </c>
      <c r="D110" s="63" t="str">
        <f>'инновации+добровольчество0,3643'!B189</f>
        <v>шт</v>
      </c>
      <c r="E110" s="160">
        <f>'инновации+добровольчество0,3643'!D189</f>
        <v>0.72860000000000003</v>
      </c>
    </row>
    <row r="111" spans="1:5" ht="12" customHeight="1" x14ac:dyDescent="0.25">
      <c r="A111" s="513"/>
      <c r="B111" s="512"/>
      <c r="C111" s="105" t="str">
        <f>'инновации+добровольчество0,3643'!A190</f>
        <v>лампа светодиод</v>
      </c>
      <c r="D111" s="63" t="str">
        <f>'инновации+добровольчество0,3643'!B190</f>
        <v>шт</v>
      </c>
      <c r="E111" s="160">
        <f>'инновации+добровольчество0,3643'!D190</f>
        <v>3.6430000000000002</v>
      </c>
    </row>
    <row r="112" spans="1:5" ht="12" customHeight="1" x14ac:dyDescent="0.25">
      <c r="A112" s="513"/>
      <c r="B112" s="512"/>
      <c r="C112" s="105" t="str">
        <f>'инновации+добровольчество0,3643'!A191</f>
        <v>кнопки</v>
      </c>
      <c r="D112" s="63" t="str">
        <f>'инновации+добровольчество0,3643'!B191</f>
        <v>шт</v>
      </c>
      <c r="E112" s="160">
        <f>'инновации+добровольчество0,3643'!D191</f>
        <v>3.6430000000000002</v>
      </c>
    </row>
    <row r="113" spans="1:5" ht="12" customHeight="1" x14ac:dyDescent="0.25">
      <c r="A113" s="513"/>
      <c r="B113" s="512"/>
      <c r="C113" s="105" t="str">
        <f>'инновации+добровольчество0,3643'!A192</f>
        <v>магниты, маркеры</v>
      </c>
      <c r="D113" s="63" t="str">
        <f>'инновации+добровольчество0,3643'!B192</f>
        <v>шт</v>
      </c>
      <c r="E113" s="160">
        <f>'инновации+добровольчество0,3643'!D192</f>
        <v>17.8507</v>
      </c>
    </row>
    <row r="114" spans="1:5" ht="12" customHeight="1" x14ac:dyDescent="0.25">
      <c r="A114" s="513"/>
      <c r="B114" s="512"/>
      <c r="C114" s="105" t="str">
        <f>'инновации+добровольчество0,3643'!A193</f>
        <v>мешки мусор</v>
      </c>
      <c r="D114" s="63" t="str">
        <f>'инновации+добровольчество0,3643'!B193</f>
        <v>шт</v>
      </c>
      <c r="E114" s="160">
        <f>'инновации+добровольчество0,3643'!D193</f>
        <v>17.1221</v>
      </c>
    </row>
    <row r="115" spans="1:5" ht="12" customHeight="1" x14ac:dyDescent="0.25">
      <c r="A115" s="513"/>
      <c r="B115" s="512"/>
      <c r="C115" s="105" t="str">
        <f>'инновации+добровольчество0,3643'!A194</f>
        <v>мыло крем</v>
      </c>
      <c r="D115" s="63" t="str">
        <f>'инновации+добровольчество0,3643'!B194</f>
        <v>шт</v>
      </c>
      <c r="E115" s="160">
        <f>'инновации+добровольчество0,3643'!D194</f>
        <v>0.36430000000000001</v>
      </c>
    </row>
    <row r="116" spans="1:5" ht="12" customHeight="1" x14ac:dyDescent="0.25">
      <c r="A116" s="513"/>
      <c r="B116" s="512"/>
      <c r="C116" s="105" t="str">
        <f>'инновации+добровольчество0,3643'!A195</f>
        <v>текстовыделитель, нож макет</v>
      </c>
      <c r="D116" s="63" t="str">
        <f>'инновации+добровольчество0,3643'!B195</f>
        <v>шт</v>
      </c>
      <c r="E116" s="160">
        <f>'инновации+добровольчество0,3643'!D195</f>
        <v>1.8215000000000001</v>
      </c>
    </row>
    <row r="117" spans="1:5" ht="12" hidden="1" customHeight="1" x14ac:dyDescent="0.25">
      <c r="A117" s="513"/>
      <c r="B117" s="512"/>
      <c r="C117" s="105" t="str">
        <f>'инновации+добровольчество0,3643'!A196</f>
        <v>освежитель</v>
      </c>
      <c r="D117" s="63" t="str">
        <f>'инновации+добровольчество0,3643'!B196</f>
        <v>шт</v>
      </c>
      <c r="E117" s="160">
        <f>'инновации+добровольчество0,3643'!D196</f>
        <v>5.4645000000000001</v>
      </c>
    </row>
    <row r="118" spans="1:5" ht="12" hidden="1" customHeight="1" x14ac:dyDescent="0.25">
      <c r="A118" s="513"/>
      <c r="B118" s="512"/>
      <c r="C118" s="105" t="str">
        <f>'инновации+добровольчество0,3643'!A197</f>
        <v>папка</v>
      </c>
      <c r="D118" s="63" t="str">
        <f>'инновации+добровольчество0,3643'!B197</f>
        <v>шт</v>
      </c>
      <c r="E118" s="160">
        <f>'инновации+добровольчество0,3643'!D197</f>
        <v>38.9801</v>
      </c>
    </row>
    <row r="119" spans="1:5" ht="12" customHeight="1" x14ac:dyDescent="0.25">
      <c r="A119" s="513"/>
      <c r="B119" s="512"/>
      <c r="C119" s="105" t="str">
        <f>'инновации+добровольчество0,3643'!A198</f>
        <v>перчатки, полотенца, салфетки</v>
      </c>
      <c r="D119" s="63" t="str">
        <f>'инновации+добровольчество0,3643'!B198</f>
        <v>шт</v>
      </c>
      <c r="E119" s="160">
        <f>'инновации+добровольчество0,3643'!D198</f>
        <v>18.215</v>
      </c>
    </row>
    <row r="120" spans="1:5" ht="12" customHeight="1" x14ac:dyDescent="0.25">
      <c r="A120" s="513"/>
      <c r="B120" s="512"/>
      <c r="C120" s="105" t="str">
        <f>'инновации+добровольчество0,3643'!A199</f>
        <v>свечи</v>
      </c>
      <c r="D120" s="63" t="str">
        <f>'инновации+добровольчество0,3643'!B199</f>
        <v>шт</v>
      </c>
      <c r="E120" s="160">
        <f>'инновации+добровольчество0,3643'!D199</f>
        <v>0.72860000000000003</v>
      </c>
    </row>
    <row r="121" spans="1:5" ht="12" customHeight="1" x14ac:dyDescent="0.25">
      <c r="A121" s="513"/>
      <c r="B121" s="512"/>
      <c r="C121" s="105" t="str">
        <f>'инновации+добровольчество0,3643'!A200</f>
        <v>кнопки, скобы</v>
      </c>
      <c r="D121" s="63" t="str">
        <f>'инновации+добровольчество0,3643'!B200</f>
        <v>шт</v>
      </c>
      <c r="E121" s="160">
        <f>'инновации+добровольчество0,3643'!D200</f>
        <v>69.216999999999999</v>
      </c>
    </row>
    <row r="122" spans="1:5" ht="12" customHeight="1" x14ac:dyDescent="0.25">
      <c r="A122" s="513"/>
      <c r="B122" s="512"/>
      <c r="C122" s="105" t="str">
        <f>'инновации+добровольчество0,3643'!A201</f>
        <v>моющие ср-ва</v>
      </c>
      <c r="D122" s="63" t="str">
        <f>'инновации+добровольчество0,3643'!B201</f>
        <v>шт</v>
      </c>
      <c r="E122" s="160">
        <f>'инновации+добровольчество0,3643'!D201</f>
        <v>0.72860000000000003</v>
      </c>
    </row>
    <row r="123" spans="1:5" ht="12" customHeight="1" x14ac:dyDescent="0.25">
      <c r="A123" s="513"/>
      <c r="B123" s="512"/>
      <c r="C123" s="105" t="str">
        <f>'инновации+добровольчество0,3643'!A202</f>
        <v>хомуты</v>
      </c>
      <c r="D123" s="63" t="str">
        <f>'инновации+добровольчество0,3643'!B202</f>
        <v>шт</v>
      </c>
      <c r="E123" s="160">
        <f>'инновации+добровольчество0,3643'!D202</f>
        <v>1.8215000000000001</v>
      </c>
    </row>
    <row r="124" spans="1:5" ht="12" customHeight="1" x14ac:dyDescent="0.25">
      <c r="A124" s="513"/>
      <c r="B124" s="512"/>
      <c r="C124" s="105" t="str">
        <f>'инновации+добровольчество0,3643'!A203</f>
        <v>чистящие ср-ва</v>
      </c>
      <c r="D124" s="63" t="str">
        <f>'инновации+добровольчество0,3643'!B203</f>
        <v>шт</v>
      </c>
      <c r="E124" s="160">
        <f>'инновации+добровольчество0,3643'!D203</f>
        <v>3.6430000000000002</v>
      </c>
    </row>
    <row r="125" spans="1:5" ht="12" customHeight="1" x14ac:dyDescent="0.25">
      <c r="A125" s="513"/>
      <c r="B125" s="512"/>
      <c r="C125" s="105" t="str">
        <f>'инновации+добровольчество0,3643'!A204</f>
        <v>шпагат</v>
      </c>
      <c r="D125" s="63" t="str">
        <f>'инновации+добровольчество0,3643'!B204</f>
        <v>шт</v>
      </c>
      <c r="E125" s="160">
        <f>'инновации+добровольчество0,3643'!D204</f>
        <v>0.72860000000000003</v>
      </c>
    </row>
    <row r="126" spans="1:5" ht="12" customHeight="1" x14ac:dyDescent="0.25">
      <c r="A126" s="513"/>
      <c r="B126" s="512"/>
      <c r="C126" s="105" t="str">
        <f>'инновации+добровольчество0,3643'!A205</f>
        <v>Флаг парус 3650*815</v>
      </c>
      <c r="D126" s="63" t="str">
        <f>'инновации+добровольчество0,3643'!B205</f>
        <v>шт</v>
      </c>
      <c r="E126" s="160">
        <f>'инновации+добровольчество0,3643'!D205</f>
        <v>2.9144000000000001</v>
      </c>
    </row>
    <row r="127" spans="1:5" ht="12" customHeight="1" x14ac:dyDescent="0.25">
      <c r="A127" s="513"/>
      <c r="B127" s="512"/>
      <c r="C127" s="105" t="str">
        <f>'инновации+добровольчество0,3643'!A206</f>
        <v>Сумка кофр</v>
      </c>
      <c r="D127" s="63" t="str">
        <f>'инновации+добровольчество0,3643'!B206</f>
        <v>шт</v>
      </c>
      <c r="E127" s="160">
        <f>'инновации+добровольчество0,3643'!D206</f>
        <v>2.1858</v>
      </c>
    </row>
    <row r="128" spans="1:5" ht="12" customHeight="1" x14ac:dyDescent="0.25">
      <c r="A128" s="513"/>
      <c r="B128" s="512"/>
      <c r="C128" s="105" t="str">
        <f>'инновации+добровольчество0,3643'!A207</f>
        <v>мачта разборная</v>
      </c>
      <c r="D128" s="63" t="str">
        <f>'инновации+добровольчество0,3643'!B207</f>
        <v>шт</v>
      </c>
      <c r="E128" s="160">
        <f>'инновации+добровольчество0,3643'!D207</f>
        <v>2.1858</v>
      </c>
    </row>
    <row r="129" spans="1:5" ht="12" customHeight="1" x14ac:dyDescent="0.25">
      <c r="A129" s="513"/>
      <c r="B129" s="512"/>
      <c r="C129" s="105" t="str">
        <f>'инновации+добровольчество0,3643'!A208</f>
        <v>наливное пластиковое основание</v>
      </c>
      <c r="D129" s="63" t="str">
        <f>'инновации+добровольчество0,3643'!B208</f>
        <v>шт</v>
      </c>
      <c r="E129" s="160">
        <f>'инновации+добровольчество0,3643'!D208</f>
        <v>2.1858</v>
      </c>
    </row>
    <row r="130" spans="1:5" ht="12" customHeight="1" x14ac:dyDescent="0.25">
      <c r="A130" s="513"/>
      <c r="B130" s="512"/>
      <c r="C130" s="105" t="str">
        <f>'инновации+добровольчество0,3643'!A209</f>
        <v>Бумага А4</v>
      </c>
      <c r="D130" s="63" t="str">
        <f>'инновации+добровольчество0,3643'!B209</f>
        <v>шт</v>
      </c>
      <c r="E130" s="160">
        <f>'инновации+добровольчество0,3643'!D209</f>
        <v>14.572000000000001</v>
      </c>
    </row>
    <row r="131" spans="1:5" ht="12" customHeight="1" x14ac:dyDescent="0.25">
      <c r="A131" s="513"/>
      <c r="B131" s="512"/>
      <c r="C131" s="105" t="str">
        <f>'инновации+добровольчество0,3643'!A210</f>
        <v>Бумага Ксерокс</v>
      </c>
      <c r="D131" s="63" t="str">
        <f>'инновации+добровольчество0,3643'!B210</f>
        <v>шт</v>
      </c>
      <c r="E131" s="160">
        <f>'инновации+добровольчество0,3643'!D210</f>
        <v>3.6430000000000002</v>
      </c>
    </row>
    <row r="132" spans="1:5" ht="15" customHeight="1" x14ac:dyDescent="0.25">
      <c r="A132" s="513"/>
      <c r="B132" s="512"/>
      <c r="C132" s="105" t="str">
        <f>'инновации+добровольчество0,3643'!A211</f>
        <v>Холст кактус</v>
      </c>
      <c r="D132" s="63" t="str">
        <f>'инновации+добровольчество0,3643'!B211</f>
        <v>шт</v>
      </c>
      <c r="E132" s="160">
        <f>'инновации+добровольчество0,3643'!D211</f>
        <v>0.72860000000000003</v>
      </c>
    </row>
    <row r="133" spans="1:5" x14ac:dyDescent="0.25">
      <c r="A133" s="513"/>
      <c r="B133" s="512"/>
      <c r="C133" s="105" t="str">
        <f>'инновации+добровольчество0,3643'!A212</f>
        <v>Пленка для ламинирования</v>
      </c>
      <c r="D133" s="63" t="str">
        <f>'инновации+добровольчество0,3643'!B212</f>
        <v>шт</v>
      </c>
      <c r="E133" s="160">
        <f>'инновации+добровольчество0,3643'!D212</f>
        <v>1.8215000000000001</v>
      </c>
    </row>
    <row r="134" spans="1:5" x14ac:dyDescent="0.25">
      <c r="A134" s="513"/>
      <c r="B134" s="512"/>
      <c r="C134" s="105" t="str">
        <f>'инновации+добровольчество0,3643'!A213</f>
        <v>Ручка гель</v>
      </c>
      <c r="D134" s="63" t="str">
        <f>'инновации+добровольчество0,3643'!B213</f>
        <v>шт</v>
      </c>
      <c r="E134" s="160">
        <f>'инновации+добровольчество0,3643'!D213</f>
        <v>7.2860000000000005</v>
      </c>
    </row>
    <row r="135" spans="1:5" x14ac:dyDescent="0.25">
      <c r="A135" s="513"/>
      <c r="B135" s="512"/>
      <c r="C135" s="105" t="str">
        <f>'инновации+добровольчество0,3643'!A214</f>
        <v>Ложка суповая</v>
      </c>
      <c r="D135" s="63" t="str">
        <f>'инновации+добровольчество0,3643'!B214</f>
        <v>шт</v>
      </c>
      <c r="E135" s="160">
        <f>'инновации+добровольчество0,3643'!D214</f>
        <v>364.3</v>
      </c>
    </row>
    <row r="136" spans="1:5" x14ac:dyDescent="0.25">
      <c r="A136" s="513"/>
      <c r="B136" s="512"/>
      <c r="C136" s="105" t="str">
        <f>'инновации+добровольчество0,3643'!A215</f>
        <v>Тарелка суповая</v>
      </c>
      <c r="D136" s="63" t="str">
        <f>'инновации+добровольчество0,3643'!B215</f>
        <v>шт</v>
      </c>
      <c r="E136" s="160">
        <f>'инновации+добровольчество0,3643'!D215</f>
        <v>364.3</v>
      </c>
    </row>
    <row r="137" spans="1:5" x14ac:dyDescent="0.25">
      <c r="A137" s="513"/>
      <c r="B137" s="512"/>
      <c r="C137" s="105" t="str">
        <f>'инновации+добровольчество0,3643'!A216</f>
        <v xml:space="preserve">Стакан однораз </v>
      </c>
      <c r="D137" s="63" t="str">
        <f>'инновации+добровольчество0,3643'!B216</f>
        <v>шт</v>
      </c>
      <c r="E137" s="160">
        <f>'инновации+добровольчество0,3643'!D216</f>
        <v>728.6</v>
      </c>
    </row>
    <row r="138" spans="1:5" x14ac:dyDescent="0.25">
      <c r="A138" s="513"/>
      <c r="B138" s="512"/>
      <c r="C138" s="105" t="str">
        <f>'инновации+добровольчество0,3643'!A217</f>
        <v>Стакан однораз 250 мл</v>
      </c>
      <c r="D138" s="63" t="str">
        <f>'инновации+добровольчество0,3643'!B217</f>
        <v>шт</v>
      </c>
      <c r="E138" s="160">
        <f>'инновации+добровольчество0,3643'!D217</f>
        <v>364.3</v>
      </c>
    </row>
    <row r="139" spans="1:5" x14ac:dyDescent="0.25">
      <c r="A139" s="513"/>
      <c r="B139" s="512"/>
      <c r="C139" s="105" t="str">
        <f>'инновации+добровольчество0,3643'!A218</f>
        <v>Бумага цветная</v>
      </c>
      <c r="D139" s="63" t="str">
        <f>'инновации+добровольчество0,3643'!B218</f>
        <v>шт</v>
      </c>
      <c r="E139" s="160">
        <f>'инновации+добровольчество0,3643'!D218</f>
        <v>1.4572000000000001</v>
      </c>
    </row>
    <row r="140" spans="1:5" x14ac:dyDescent="0.25">
      <c r="A140" s="513"/>
      <c r="B140" s="512"/>
      <c r="C140" s="105" t="str">
        <f>'инновации+добровольчество0,3643'!A219</f>
        <v>Бумага писчая</v>
      </c>
      <c r="D140" s="63" t="str">
        <f>'инновации+добровольчество0,3643'!B219</f>
        <v>шт</v>
      </c>
      <c r="E140" s="160">
        <f>'инновации+добровольчество0,3643'!D219</f>
        <v>1.8215000000000001</v>
      </c>
    </row>
    <row r="141" spans="1:5" x14ac:dyDescent="0.25">
      <c r="A141" s="513"/>
      <c r="B141" s="512"/>
      <c r="C141" s="105" t="str">
        <f>'инновации+добровольчество0,3643'!A220</f>
        <v>Фитолента</v>
      </c>
      <c r="D141" s="63" t="str">
        <f>'инновации+добровольчество0,3643'!B220</f>
        <v>шт</v>
      </c>
      <c r="E141" s="160">
        <f>'инновации+добровольчество0,3643'!D220</f>
        <v>1.8215000000000001</v>
      </c>
    </row>
    <row r="142" spans="1:5" x14ac:dyDescent="0.25">
      <c r="A142" s="513"/>
      <c r="B142" s="512"/>
      <c r="C142" s="105" t="str">
        <f>'инновации+добровольчество0,3643'!A221</f>
        <v>грунт универсал</v>
      </c>
      <c r="D142" s="63" t="str">
        <f>'инновации+добровольчество0,3643'!B221</f>
        <v>шт</v>
      </c>
      <c r="E142" s="160">
        <f>'инновации+добровольчество0,3643'!D221</f>
        <v>1.8215000000000001</v>
      </c>
    </row>
    <row r="143" spans="1:5" x14ac:dyDescent="0.25">
      <c r="A143" s="513"/>
      <c r="B143" s="512"/>
      <c r="C143" s="105" t="str">
        <f>'инновации+добровольчество0,3643'!A222</f>
        <v>комплект рассадников</v>
      </c>
      <c r="D143" s="63" t="str">
        <f>'инновации+добровольчество0,3643'!B222</f>
        <v>шт</v>
      </c>
      <c r="E143" s="160">
        <f>'инновации+добровольчество0,3643'!D222</f>
        <v>12.750500000000001</v>
      </c>
    </row>
    <row r="144" spans="1:5" x14ac:dyDescent="0.25">
      <c r="A144" s="513"/>
      <c r="B144" s="512"/>
      <c r="C144" s="105" t="str">
        <f>'инновации+добровольчество0,3643'!A223</f>
        <v>семена цветов</v>
      </c>
      <c r="D144" s="63" t="str">
        <f>'инновации+добровольчество0,3643'!B223</f>
        <v>шт</v>
      </c>
      <c r="E144" s="160">
        <f>'инновации+добровольчество0,3643'!D223</f>
        <v>21.858000000000001</v>
      </c>
    </row>
    <row r="145" spans="1:5" x14ac:dyDescent="0.25">
      <c r="A145" s="513"/>
      <c r="B145" s="512"/>
      <c r="C145" s="105" t="str">
        <f>'инновации+добровольчество0,3643'!A224</f>
        <v>пьезозажтгалка</v>
      </c>
      <c r="D145" s="63" t="str">
        <f>'инновации+добровольчество0,3643'!B224</f>
        <v>шт</v>
      </c>
      <c r="E145" s="160">
        <f>'инновации+добровольчество0,3643'!D224</f>
        <v>3.6430000000000002</v>
      </c>
    </row>
    <row r="146" spans="1:5" x14ac:dyDescent="0.25">
      <c r="A146" s="513"/>
      <c r="B146" s="512"/>
      <c r="C146" s="105" t="str">
        <f>'инновации+добровольчество0,3643'!A225</f>
        <v>лейка садовая</v>
      </c>
      <c r="D146" s="63" t="str">
        <f>'инновации+добровольчество0,3643'!B225</f>
        <v>шт</v>
      </c>
      <c r="E146" s="160">
        <f>'инновации+добровольчество0,3643'!D225</f>
        <v>0.36430000000000001</v>
      </c>
    </row>
    <row r="147" spans="1:5" x14ac:dyDescent="0.25">
      <c r="A147" s="513"/>
      <c r="B147" s="512"/>
      <c r="C147" s="105" t="str">
        <f>'инновации+добровольчество0,3643'!A226</f>
        <v>Толстовка мц</v>
      </c>
      <c r="D147" s="63" t="str">
        <f>'инновации+добровольчество0,3643'!B226</f>
        <v>шт</v>
      </c>
      <c r="E147" s="160">
        <f>'инновации+добровольчество0,3643'!D226</f>
        <v>2.5501</v>
      </c>
    </row>
    <row r="148" spans="1:5" x14ac:dyDescent="0.25">
      <c r="A148" s="513"/>
      <c r="B148" s="512"/>
      <c r="C148" s="105" t="str">
        <f>'инновации+добровольчество0,3643'!A227</f>
        <v>футболка мц</v>
      </c>
      <c r="D148" s="63" t="str">
        <f>'инновации+добровольчество0,3643'!B227</f>
        <v>шт</v>
      </c>
      <c r="E148" s="160">
        <f>'инновации+добровольчество0,3643'!D227</f>
        <v>3.6430000000000002</v>
      </c>
    </row>
    <row r="149" spans="1:5" x14ac:dyDescent="0.25">
      <c r="A149" s="513"/>
      <c r="B149" s="512"/>
      <c r="C149" s="105" t="str">
        <f>'инновации+добровольчество0,3643'!A228</f>
        <v>бейсболка мц</v>
      </c>
      <c r="D149" s="63" t="str">
        <f>'инновации+добровольчество0,3643'!B228</f>
        <v>шт</v>
      </c>
      <c r="E149" s="160">
        <f>'инновации+добровольчество0,3643'!D228</f>
        <v>2.5501</v>
      </c>
    </row>
    <row r="150" spans="1:5" x14ac:dyDescent="0.25">
      <c r="A150" s="513"/>
      <c r="B150" s="512"/>
      <c r="C150" s="105" t="str">
        <f>'инновации+добровольчество0,3643'!A229</f>
        <v>флаг мц</v>
      </c>
      <c r="D150" s="63" t="str">
        <f>'инновации+добровольчество0,3643'!B229</f>
        <v>шт</v>
      </c>
      <c r="E150" s="160">
        <f>'инновации+добровольчество0,3643'!D229</f>
        <v>0.36430000000000001</v>
      </c>
    </row>
    <row r="151" spans="1:5" x14ac:dyDescent="0.25">
      <c r="A151" s="513"/>
      <c r="B151" s="512"/>
      <c r="C151" s="105" t="str">
        <f>'инновации+добровольчество0,3643'!A230</f>
        <v>Футболка черная</v>
      </c>
      <c r="D151" s="63" t="str">
        <f>'инновации+добровольчество0,3643'!B230</f>
        <v>шт</v>
      </c>
      <c r="E151" s="160">
        <f>'инновации+добровольчество0,3643'!D230</f>
        <v>1.8215000000000001</v>
      </c>
    </row>
    <row r="152" spans="1:5" x14ac:dyDescent="0.25">
      <c r="A152" s="513"/>
      <c r="B152" s="512"/>
      <c r="C152" s="105" t="str">
        <f>'инновации+добровольчество0,3643'!A231</f>
        <v>система джокер 2*3</v>
      </c>
      <c r="D152" s="63" t="str">
        <f>'инновации+добровольчество0,3643'!B231</f>
        <v>шт</v>
      </c>
      <c r="E152" s="160">
        <f>'инновации+добровольчество0,3643'!D231</f>
        <v>0.36430000000000001</v>
      </c>
    </row>
    <row r="153" spans="1:5" x14ac:dyDescent="0.25">
      <c r="A153" s="513"/>
      <c r="B153" s="512"/>
      <c r="C153" s="105" t="str">
        <f>'инновации+добровольчество0,3643'!A232</f>
        <v>система джокер 2*2</v>
      </c>
      <c r="D153" s="63" t="str">
        <f>'инновации+добровольчество0,3643'!B232</f>
        <v>шт</v>
      </c>
      <c r="E153" s="160">
        <f>'инновации+добровольчество0,3643'!D232</f>
        <v>0.72860000000000003</v>
      </c>
    </row>
    <row r="154" spans="1:5" x14ac:dyDescent="0.25">
      <c r="A154" s="513"/>
      <c r="B154" s="512"/>
      <c r="C154" s="105" t="str">
        <f>'инновации+добровольчество0,3643'!A233</f>
        <v xml:space="preserve">мачта разборка </v>
      </c>
      <c r="D154" s="63" t="str">
        <f>'инновации+добровольчество0,3643'!B233</f>
        <v>шт</v>
      </c>
      <c r="E154" s="160">
        <f>'инновации+добровольчество0,3643'!D233</f>
        <v>0.36430000000000001</v>
      </c>
    </row>
    <row r="155" spans="1:5" x14ac:dyDescent="0.25">
      <c r="A155" s="513"/>
      <c r="B155" s="512"/>
      <c r="C155" s="105" t="str">
        <f>'инновации+добровольчество0,3643'!A234</f>
        <v>флаг парус</v>
      </c>
      <c r="D155" s="63" t="str">
        <f>'инновации+добровольчество0,3643'!B234</f>
        <v>шт</v>
      </c>
      <c r="E155" s="160">
        <f>'инновации+добровольчество0,3643'!D234</f>
        <v>0.36430000000000001</v>
      </c>
    </row>
    <row r="156" spans="1:5" x14ac:dyDescent="0.25">
      <c r="A156" s="513"/>
      <c r="B156" s="512"/>
      <c r="C156" s="105" t="str">
        <f>'инновации+добровольчество0,3643'!A235</f>
        <v>сучка кофр</v>
      </c>
      <c r="D156" s="63" t="str">
        <f>'инновации+добровольчество0,3643'!B235</f>
        <v>шт</v>
      </c>
      <c r="E156" s="160">
        <f>'инновации+добровольчество0,3643'!D235</f>
        <v>0.36430000000000001</v>
      </c>
    </row>
    <row r="157" spans="1:5" x14ac:dyDescent="0.25">
      <c r="A157" s="513"/>
      <c r="B157" s="512"/>
      <c r="C157" s="105" t="str">
        <f>'инновации+добровольчество0,3643'!A236</f>
        <v>Бумага А4 офисная</v>
      </c>
      <c r="D157" s="63" t="str">
        <f>'инновации+добровольчество0,3643'!B236</f>
        <v>шт</v>
      </c>
      <c r="E157" s="160">
        <f>'инновации+добровольчество0,3643'!D236</f>
        <v>29.144000000000002</v>
      </c>
    </row>
    <row r="158" spans="1:5" x14ac:dyDescent="0.25">
      <c r="A158" s="513"/>
      <c r="B158" s="512"/>
      <c r="C158" s="105" t="str">
        <f>'инновации+добровольчество0,3643'!A237</f>
        <v>Фотобумага А4 глянцевая</v>
      </c>
      <c r="D158" s="63" t="str">
        <f>'инновации+добровольчество0,3643'!B237</f>
        <v>шт</v>
      </c>
      <c r="E158" s="160">
        <f>'инновации+добровольчество0,3643'!D237</f>
        <v>16.7578</v>
      </c>
    </row>
    <row r="159" spans="1:5" x14ac:dyDescent="0.25">
      <c r="A159" s="513"/>
      <c r="B159" s="512"/>
      <c r="C159" s="105" t="str">
        <f>'инновации+добровольчество0,3643'!A238</f>
        <v>Карта памяти Kingston для экшн камеры</v>
      </c>
      <c r="D159" s="63" t="str">
        <f>'инновации+добровольчество0,3643'!B238</f>
        <v>шт</v>
      </c>
      <c r="E159" s="160">
        <f>'инновации+добровольчество0,3643'!D238</f>
        <v>0.36430000000000001</v>
      </c>
    </row>
    <row r="160" spans="1:5" x14ac:dyDescent="0.25">
      <c r="A160" s="513"/>
      <c r="B160" s="512"/>
      <c r="C160" s="105" t="str">
        <f>'инновации+добровольчество0,3643'!A239</f>
        <v>Фоторамки</v>
      </c>
      <c r="D160" s="63" t="str">
        <f>'инновации+добровольчество0,3643'!B239</f>
        <v>шт</v>
      </c>
      <c r="E160" s="160">
        <f>'инновации+добровольчество0,3643'!D239</f>
        <v>72.86</v>
      </c>
    </row>
    <row r="161" spans="1:5" x14ac:dyDescent="0.25">
      <c r="A161" s="513"/>
      <c r="B161" s="512"/>
      <c r="C161" s="105" t="str">
        <f>'инновации+добровольчество0,3643'!A240</f>
        <v>Мышь USB</v>
      </c>
      <c r="D161" s="63" t="str">
        <f>'инновации+добровольчество0,3643'!B240</f>
        <v>шт</v>
      </c>
      <c r="E161" s="160">
        <f>'инновации+добровольчество0,3643'!D240</f>
        <v>1.4572000000000001</v>
      </c>
    </row>
    <row r="162" spans="1:5" x14ac:dyDescent="0.25">
      <c r="A162" s="513"/>
      <c r="B162" s="512"/>
      <c r="C162" s="105" t="str">
        <f>'инновации+добровольчество0,3643'!A241</f>
        <v>Фанера</v>
      </c>
      <c r="D162" s="63" t="str">
        <f>'инновации+добровольчество0,3643'!B241</f>
        <v>шт</v>
      </c>
      <c r="E162" s="160">
        <f>'инновации+добровольчество0,3643'!D241</f>
        <v>14.572000000000001</v>
      </c>
    </row>
    <row r="163" spans="1:5" x14ac:dyDescent="0.25">
      <c r="A163" s="513"/>
      <c r="B163" s="512"/>
      <c r="C163" s="105" t="str">
        <f>'инновации+добровольчество0,3643'!A242</f>
        <v>Труба профильная</v>
      </c>
      <c r="D163" s="63" t="str">
        <f>'инновации+добровольчество0,3643'!B242</f>
        <v>шт</v>
      </c>
      <c r="E163" s="160">
        <f>'инновации+добровольчество0,3643'!D242</f>
        <v>25.501000000000001</v>
      </c>
    </row>
    <row r="164" spans="1:5" x14ac:dyDescent="0.25">
      <c r="A164" s="513"/>
      <c r="B164" s="512"/>
      <c r="C164" s="105" t="str">
        <f>'инновации+добровольчество0,3643'!A243</f>
        <v>Фанера березовая шлифованная</v>
      </c>
      <c r="D164" s="63" t="str">
        <f>'инновации+добровольчество0,3643'!B243</f>
        <v>шт</v>
      </c>
      <c r="E164" s="160">
        <f>'инновации+добровольчество0,3643'!D243</f>
        <v>3.6430000000000002</v>
      </c>
    </row>
    <row r="165" spans="1:5" x14ac:dyDescent="0.25">
      <c r="A165" s="513"/>
      <c r="B165" s="512"/>
      <c r="C165" s="105" t="str">
        <f>'инновации+добровольчество0,3643'!A244</f>
        <v>Чернозем для клумб</v>
      </c>
      <c r="D165" s="63" t="str">
        <f>'инновации+добровольчество0,3643'!B244</f>
        <v>шт</v>
      </c>
      <c r="E165" s="160">
        <f>'инновации+добровольчество0,3643'!D244</f>
        <v>0.72860000000000003</v>
      </c>
    </row>
    <row r="166" spans="1:5" x14ac:dyDescent="0.25">
      <c r="A166" s="513"/>
      <c r="B166" s="512"/>
      <c r="C166" s="105" t="str">
        <f>'инновации+добровольчество0,3643'!A245</f>
        <v>Кисти</v>
      </c>
      <c r="D166" s="63" t="str">
        <f>'инновации+добровольчество0,3643'!B245</f>
        <v>шт</v>
      </c>
      <c r="E166" s="160">
        <f>'инновации+добровольчество0,3643'!D245</f>
        <v>14.572000000000001</v>
      </c>
    </row>
    <row r="167" spans="1:5" x14ac:dyDescent="0.25">
      <c r="A167" s="513"/>
      <c r="B167" s="512"/>
      <c r="C167" s="105" t="str">
        <f>'инновации+добровольчество0,3643'!A246</f>
        <v>краска кудо</v>
      </c>
      <c r="D167" s="63" t="str">
        <f>'инновации+добровольчество0,3643'!B246</f>
        <v>шт</v>
      </c>
      <c r="E167" s="160">
        <f>'инновации+добровольчество0,3643'!D246</f>
        <v>3.6430000000000002</v>
      </c>
    </row>
    <row r="168" spans="1:5" x14ac:dyDescent="0.25">
      <c r="A168" s="513"/>
      <c r="B168" s="512"/>
      <c r="C168" s="105" t="str">
        <f>'инновации+добровольчество0,3643'!A247</f>
        <v>Валик+ванночка</v>
      </c>
      <c r="D168" s="63" t="str">
        <f>'инновации+добровольчество0,3643'!B247</f>
        <v>шт</v>
      </c>
      <c r="E168" s="160">
        <f>'инновации+добровольчество0,3643'!D247</f>
        <v>3.6430000000000002</v>
      </c>
    </row>
    <row r="169" spans="1:5" x14ac:dyDescent="0.25">
      <c r="A169" s="513"/>
      <c r="B169" s="512"/>
      <c r="C169" s="105" t="str">
        <f>'инновации+добровольчество0,3643'!A248</f>
        <v>Ножницыы</v>
      </c>
      <c r="D169" s="63" t="str">
        <f>'инновации+добровольчество0,3643'!B248</f>
        <v>шт</v>
      </c>
      <c r="E169" s="160">
        <f>'инновации+добровольчество0,3643'!D248</f>
        <v>3.6430000000000002</v>
      </c>
    </row>
    <row r="170" spans="1:5" x14ac:dyDescent="0.25">
      <c r="A170" s="513"/>
      <c r="B170" s="512"/>
      <c r="C170" s="105" t="str">
        <f>'инновации+добровольчество0,3643'!A249</f>
        <v>Бумага А4</v>
      </c>
      <c r="D170" s="63" t="str">
        <f>'инновации+добровольчество0,3643'!B249</f>
        <v>шт</v>
      </c>
      <c r="E170" s="160">
        <f>'инновации+добровольчество0,3643'!D249</f>
        <v>36.43</v>
      </c>
    </row>
    <row r="171" spans="1:5" x14ac:dyDescent="0.25">
      <c r="A171" s="513"/>
      <c r="B171" s="512"/>
      <c r="C171" s="105" t="str">
        <f>'инновации+добровольчество0,3643'!A250</f>
        <v>Грабли, лопаты</v>
      </c>
      <c r="D171" s="63" t="str">
        <f>'инновации+добровольчество0,3643'!B250</f>
        <v>шт</v>
      </c>
      <c r="E171" s="160">
        <f>'инновации+добровольчество0,3643'!D250</f>
        <v>3.6430000000000002</v>
      </c>
    </row>
    <row r="172" spans="1:5" x14ac:dyDescent="0.25">
      <c r="A172" s="513"/>
      <c r="B172" s="512"/>
      <c r="C172" s="105" t="str">
        <f>'инновации+добровольчество0,3643'!A251</f>
        <v>ГСМ Бензин</v>
      </c>
      <c r="D172" s="63" t="str">
        <f>'инновации+добровольчество0,3643'!B251</f>
        <v>шт</v>
      </c>
      <c r="E172" s="160">
        <f>'инновации+добровольчество0,3643'!D251</f>
        <v>947.18000000000006</v>
      </c>
    </row>
    <row r="173" spans="1:5" x14ac:dyDescent="0.25">
      <c r="A173" s="513"/>
      <c r="B173" s="512"/>
      <c r="C173" s="105" t="str">
        <f>'инновации+добровольчество0,3643'!A252</f>
        <v>Набор для ухода за оптикой</v>
      </c>
      <c r="D173" s="63" t="str">
        <f>'инновации+добровольчество0,3643'!B252</f>
        <v>шт</v>
      </c>
      <c r="E173" s="160">
        <f>'инновации+добровольчество0,3643'!D252</f>
        <v>0.36430000000000001</v>
      </c>
    </row>
    <row r="174" spans="1:5" x14ac:dyDescent="0.25">
      <c r="A174" s="513"/>
      <c r="B174" s="512"/>
      <c r="C174" s="105" t="str">
        <f>'инновации+добровольчество0,3643'!A253</f>
        <v>Фотосумка</v>
      </c>
      <c r="D174" s="63" t="str">
        <f>'инновации+добровольчество0,3643'!B253</f>
        <v>шт</v>
      </c>
      <c r="E174" s="160">
        <f>'инновации+добровольчество0,3643'!D253</f>
        <v>0.36430000000000001</v>
      </c>
    </row>
    <row r="175" spans="1:5" ht="15" customHeight="1" x14ac:dyDescent="0.25">
      <c r="A175" s="513"/>
      <c r="B175" s="512"/>
      <c r="C175" s="105" t="str">
        <f>'инновации+добровольчество0,3643'!A254</f>
        <v>Карта памяти Kingston для экшн камеры</v>
      </c>
      <c r="D175" s="63" t="str">
        <f>'инновации+добровольчество0,3643'!B254</f>
        <v>шт</v>
      </c>
      <c r="E175" s="160">
        <f>'инновации+добровольчество0,3643'!D254</f>
        <v>0.36430000000000001</v>
      </c>
    </row>
    <row r="176" spans="1:5" ht="15" customHeight="1" x14ac:dyDescent="0.25">
      <c r="A176" s="513"/>
      <c r="B176" s="512"/>
      <c r="C176" s="105" t="str">
        <f>'инновации+добровольчество0,3643'!A255</f>
        <v>Карта памяти экспресс</v>
      </c>
      <c r="D176" s="63" t="str">
        <f>'инновации+добровольчество0,3643'!B255</f>
        <v>шт</v>
      </c>
      <c r="E176" s="160">
        <f>'инновации+добровольчество0,3643'!D255</f>
        <v>0.36430000000000001</v>
      </c>
    </row>
    <row r="177" spans="1:5" ht="15" customHeight="1" x14ac:dyDescent="0.25">
      <c r="A177" s="513"/>
      <c r="B177" s="512"/>
      <c r="C177" s="105" t="str">
        <f>'инновации+добровольчество0,3643'!A256</f>
        <v>Карт ридер</v>
      </c>
      <c r="D177" s="63" t="str">
        <f>'инновации+добровольчество0,3643'!B256</f>
        <v>шт</v>
      </c>
      <c r="E177" s="160">
        <f>'инновации+добровольчество0,3643'!D256</f>
        <v>0.36430000000000001</v>
      </c>
    </row>
    <row r="178" spans="1:5" x14ac:dyDescent="0.25">
      <c r="C178" s="105">
        <f>'инновации+добровольчество0,3643'!A439</f>
        <v>0</v>
      </c>
    </row>
    <row r="179" spans="1:5" x14ac:dyDescent="0.25">
      <c r="C179" s="105">
        <f>'инновации+добровольчество0,3643'!A440</f>
        <v>0</v>
      </c>
    </row>
    <row r="180" spans="1:5" x14ac:dyDescent="0.25">
      <c r="C180" s="105">
        <f>'инновации+добровольчество0,3643'!A441</f>
        <v>0</v>
      </c>
    </row>
    <row r="181" spans="1:5" x14ac:dyDescent="0.25">
      <c r="C181" s="105">
        <f>'инновации+добровольчество0,3643'!A442</f>
        <v>0</v>
      </c>
    </row>
    <row r="182" spans="1:5" x14ac:dyDescent="0.25">
      <c r="C182" s="105">
        <f>'инновации+добровольчество0,3643'!A443</f>
        <v>0</v>
      </c>
    </row>
    <row r="183" spans="1:5" x14ac:dyDescent="0.25">
      <c r="C183" s="105">
        <f>'инновации+добровольчество0,3643'!A444</f>
        <v>0</v>
      </c>
    </row>
    <row r="184" spans="1:5" x14ac:dyDescent="0.25">
      <c r="C184" s="105">
        <f>'инновации+добровольчество0,3643'!A445</f>
        <v>0</v>
      </c>
    </row>
    <row r="185" spans="1:5" x14ac:dyDescent="0.25">
      <c r="C185" s="105">
        <f>'инновации+добровольчество0,3643'!A446</f>
        <v>0</v>
      </c>
    </row>
    <row r="186" spans="1:5" x14ac:dyDescent="0.25">
      <c r="C186" s="105">
        <f>'инновации+добровольчество0,3643'!A447</f>
        <v>0</v>
      </c>
    </row>
    <row r="187" spans="1:5" x14ac:dyDescent="0.25">
      <c r="C187" s="105">
        <f>'инновации+добровольчество0,3643'!A448</f>
        <v>0</v>
      </c>
    </row>
    <row r="188" spans="1:5" x14ac:dyDescent="0.25">
      <c r="C188" s="105">
        <f>'инновации+добровольчество0,3643'!A449</f>
        <v>0</v>
      </c>
    </row>
    <row r="189" spans="1:5" x14ac:dyDescent="0.25">
      <c r="C189" s="105">
        <f>'инновации+добровольчество0,3643'!A450</f>
        <v>0</v>
      </c>
    </row>
    <row r="190" spans="1:5" x14ac:dyDescent="0.25">
      <c r="C190" s="105">
        <f>'инновации+добровольчество0,3643'!A451</f>
        <v>0</v>
      </c>
    </row>
    <row r="191" spans="1:5" x14ac:dyDescent="0.25">
      <c r="C191" s="105">
        <f>'инновации+добровольчество0,3643'!A452</f>
        <v>0</v>
      </c>
    </row>
    <row r="192" spans="1:5" x14ac:dyDescent="0.25">
      <c r="C192" s="105">
        <f>'инновации+добровольчество0,3643'!A453</f>
        <v>0</v>
      </c>
    </row>
    <row r="193" spans="3:3" x14ac:dyDescent="0.25">
      <c r="C193" s="105">
        <f>'инновации+добровольчество0,3643'!A454</f>
        <v>0</v>
      </c>
    </row>
    <row r="194" spans="3:3" x14ac:dyDescent="0.25">
      <c r="C194" s="105">
        <f>'инновации+добровольчество0,3643'!A455</f>
        <v>0</v>
      </c>
    </row>
    <row r="195" spans="3:3" x14ac:dyDescent="0.25">
      <c r="C195" s="105">
        <f>'инновации+добровольчество0,3643'!A456</f>
        <v>0</v>
      </c>
    </row>
  </sheetData>
  <mergeCells count="18">
    <mergeCell ref="D1:E1"/>
    <mergeCell ref="A3:E3"/>
    <mergeCell ref="A4:E4"/>
    <mergeCell ref="C7:E7"/>
    <mergeCell ref="C8:E8"/>
    <mergeCell ref="C86:E86"/>
    <mergeCell ref="C92:E92"/>
    <mergeCell ref="B7:B177"/>
    <mergeCell ref="A7:A177"/>
    <mergeCell ref="C15:E15"/>
    <mergeCell ref="C33:E33"/>
    <mergeCell ref="C34:E34"/>
    <mergeCell ref="C41:E41"/>
    <mergeCell ref="C73:E73"/>
    <mergeCell ref="C81:E81"/>
    <mergeCell ref="C88:E88"/>
    <mergeCell ref="C95:E95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262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71" t="str">
        <f>'таланты+инициативы0,2714'!A1:F1</f>
        <v>Учреждение: Муниципальное бюджетное учреждение  «Молодежный центр » Северо- Енисейского района</v>
      </c>
      <c r="B1" s="571"/>
      <c r="C1" s="571"/>
      <c r="D1" s="571"/>
      <c r="E1" s="571"/>
      <c r="F1" s="571"/>
      <c r="G1" s="571"/>
      <c r="H1" s="571"/>
    </row>
    <row r="2" spans="1:9" x14ac:dyDescent="0.25">
      <c r="A2" s="278" t="str">
        <f>'таланты+инициативы0,2714'!A2</f>
        <v>на 08.12.2023 год</v>
      </c>
      <c r="B2" s="278"/>
      <c r="C2" s="278"/>
      <c r="D2" s="278"/>
    </row>
    <row r="3" spans="1:9" ht="48" customHeight="1" x14ac:dyDescent="0.25">
      <c r="A3" s="37" t="s">
        <v>213</v>
      </c>
      <c r="B3" s="571" t="s">
        <v>50</v>
      </c>
      <c r="C3" s="571"/>
      <c r="D3" s="571"/>
      <c r="E3" s="571"/>
      <c r="F3" s="571"/>
      <c r="G3" s="571"/>
      <c r="H3" s="571"/>
      <c r="I3" s="162"/>
    </row>
    <row r="4" spans="1:9" x14ac:dyDescent="0.25">
      <c r="A4" s="593" t="s">
        <v>219</v>
      </c>
      <c r="B4" s="593"/>
      <c r="C4" s="593"/>
      <c r="D4" s="593"/>
      <c r="E4" s="593"/>
    </row>
    <row r="5" spans="1:9" x14ac:dyDescent="0.25">
      <c r="A5" s="594" t="s">
        <v>43</v>
      </c>
      <c r="B5" s="594"/>
      <c r="C5" s="594"/>
      <c r="D5" s="594"/>
      <c r="E5" s="594"/>
    </row>
    <row r="6" spans="1:9" x14ac:dyDescent="0.25">
      <c r="A6" s="594" t="s">
        <v>199</v>
      </c>
      <c r="B6" s="594"/>
      <c r="C6" s="594"/>
      <c r="D6" s="594"/>
      <c r="E6" s="594"/>
    </row>
    <row r="7" spans="1:9" ht="29.25" customHeight="1" x14ac:dyDescent="0.25">
      <c r="A7" s="572" t="s">
        <v>218</v>
      </c>
      <c r="B7" s="572"/>
      <c r="C7" s="572"/>
      <c r="D7" s="572"/>
      <c r="E7" s="572"/>
    </row>
    <row r="8" spans="1:9" ht="15.75" x14ac:dyDescent="0.25">
      <c r="A8" s="572" t="s">
        <v>47</v>
      </c>
      <c r="B8" s="572"/>
      <c r="C8" s="572"/>
      <c r="D8" s="572"/>
      <c r="E8" s="572"/>
      <c r="F8" s="3"/>
    </row>
    <row r="9" spans="1:9" ht="31.5" x14ac:dyDescent="0.25">
      <c r="A9" s="95" t="s">
        <v>34</v>
      </c>
      <c r="B9" s="64" t="s">
        <v>9</v>
      </c>
      <c r="C9" s="65"/>
      <c r="D9" s="573" t="s">
        <v>10</v>
      </c>
      <c r="E9" s="574"/>
      <c r="F9" s="277" t="s">
        <v>9</v>
      </c>
    </row>
    <row r="10" spans="1:9" ht="15.75" x14ac:dyDescent="0.25">
      <c r="A10" s="95"/>
      <c r="B10" s="317"/>
      <c r="C10" s="317"/>
      <c r="D10" s="575" t="s">
        <v>187</v>
      </c>
      <c r="E10" s="576"/>
      <c r="F10" s="66">
        <v>1</v>
      </c>
    </row>
    <row r="11" spans="1:9" ht="15.75" x14ac:dyDescent="0.25">
      <c r="A11" s="64" t="s">
        <v>93</v>
      </c>
      <c r="B11" s="317">
        <v>1</v>
      </c>
      <c r="C11" s="317"/>
      <c r="D11" s="280" t="str">
        <f>'[1]2016'!$AE$25</f>
        <v>Водитель</v>
      </c>
      <c r="E11" s="281"/>
      <c r="F11" s="317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17">
        <v>5.6</v>
      </c>
      <c r="C12" s="317"/>
      <c r="D12" s="577" t="s">
        <v>87</v>
      </c>
      <c r="E12" s="578"/>
      <c r="F12" s="317">
        <v>0.5</v>
      </c>
    </row>
    <row r="13" spans="1:9" ht="15.6" customHeight="1" x14ac:dyDescent="0.25">
      <c r="A13" s="64"/>
      <c r="B13" s="317"/>
      <c r="C13" s="317"/>
      <c r="D13" s="280" t="str">
        <f>'[1]2016'!$AE$26</f>
        <v xml:space="preserve">Уборщик служебных помещений </v>
      </c>
      <c r="E13" s="281"/>
      <c r="F13" s="317">
        <v>1</v>
      </c>
    </row>
    <row r="14" spans="1:9" ht="15.75" x14ac:dyDescent="0.25">
      <c r="A14" s="67" t="s">
        <v>57</v>
      </c>
      <c r="B14" s="68">
        <f>SUM(B10:B12)</f>
        <v>6.6</v>
      </c>
      <c r="C14" s="67"/>
      <c r="D14" s="579" t="s">
        <v>57</v>
      </c>
      <c r="E14" s="580"/>
      <c r="F14" s="68">
        <f>SUM(F10:F13)</f>
        <v>3.5</v>
      </c>
    </row>
    <row r="15" spans="1:9" x14ac:dyDescent="0.25">
      <c r="A15" s="38" t="str">
        <f>'патриотика0,3643'!A14</f>
        <v>Затраты на оплату труда работников, непосредственно связанных с выполнением работы</v>
      </c>
    </row>
    <row r="16" spans="1:9" x14ac:dyDescent="0.25">
      <c r="A16" s="595" t="s">
        <v>304</v>
      </c>
      <c r="B16" s="595"/>
      <c r="C16" s="595"/>
      <c r="D16" s="595"/>
      <c r="E16" s="595"/>
      <c r="F16" s="595"/>
    </row>
    <row r="17" spans="1:9" ht="15.75" x14ac:dyDescent="0.25">
      <c r="A17" s="9" t="s">
        <v>312</v>
      </c>
      <c r="B17" s="39"/>
      <c r="C17" s="39"/>
      <c r="D17" s="39"/>
    </row>
    <row r="18" spans="1:9" x14ac:dyDescent="0.25">
      <c r="A18" s="596" t="s">
        <v>45</v>
      </c>
      <c r="B18" s="596"/>
      <c r="C18" s="596"/>
      <c r="D18" s="596"/>
      <c r="E18" s="596"/>
      <c r="F18" s="596"/>
    </row>
    <row r="19" spans="1:9" x14ac:dyDescent="0.25">
      <c r="A19" s="592"/>
      <c r="B19" s="592"/>
      <c r="C19" s="290"/>
      <c r="D19" s="40">
        <v>0.36430000000000001</v>
      </c>
      <c r="E19" s="40"/>
    </row>
    <row r="20" spans="1:9" ht="15.6" customHeight="1" x14ac:dyDescent="0.25">
      <c r="A20" s="546" t="s">
        <v>0</v>
      </c>
      <c r="B20" s="546" t="s">
        <v>1</v>
      </c>
      <c r="C20" s="94"/>
      <c r="D20" s="546" t="s">
        <v>2</v>
      </c>
      <c r="E20" s="538" t="s">
        <v>3</v>
      </c>
      <c r="F20" s="539"/>
      <c r="G20" s="547" t="s">
        <v>35</v>
      </c>
      <c r="H20" s="94" t="s">
        <v>5</v>
      </c>
      <c r="I20" s="546" t="s">
        <v>6</v>
      </c>
    </row>
    <row r="21" spans="1:9" ht="30" x14ac:dyDescent="0.25">
      <c r="A21" s="546"/>
      <c r="B21" s="546"/>
      <c r="C21" s="94"/>
      <c r="D21" s="546"/>
      <c r="E21" s="94" t="s">
        <v>301</v>
      </c>
      <c r="F21" s="94" t="s">
        <v>313</v>
      </c>
      <c r="G21" s="547"/>
      <c r="H21" s="94" t="s">
        <v>51</v>
      </c>
      <c r="I21" s="546"/>
    </row>
    <row r="22" spans="1:9" ht="15.75" customHeight="1" x14ac:dyDescent="0.25">
      <c r="A22" s="546"/>
      <c r="B22" s="546"/>
      <c r="C22" s="94"/>
      <c r="D22" s="546"/>
      <c r="E22" s="94" t="s">
        <v>4</v>
      </c>
      <c r="F22" s="49"/>
      <c r="G22" s="547"/>
      <c r="H22" s="94" t="s">
        <v>303</v>
      </c>
      <c r="I22" s="546"/>
    </row>
    <row r="23" spans="1:9" x14ac:dyDescent="0.25">
      <c r="A23" s="546">
        <v>1</v>
      </c>
      <c r="B23" s="546">
        <v>2</v>
      </c>
      <c r="C23" s="94"/>
      <c r="D23" s="546">
        <v>3</v>
      </c>
      <c r="E23" s="546" t="s">
        <v>302</v>
      </c>
      <c r="F23" s="546">
        <v>5</v>
      </c>
      <c r="G23" s="547" t="s">
        <v>7</v>
      </c>
      <c r="H23" s="94" t="s">
        <v>52</v>
      </c>
      <c r="I23" s="546" t="s">
        <v>53</v>
      </c>
    </row>
    <row r="24" spans="1:9" x14ac:dyDescent="0.25">
      <c r="A24" s="546"/>
      <c r="B24" s="546"/>
      <c r="C24" s="94"/>
      <c r="D24" s="546"/>
      <c r="E24" s="546"/>
      <c r="F24" s="546"/>
      <c r="G24" s="547"/>
      <c r="H24" s="50">
        <v>1775.4</v>
      </c>
      <c r="I24" s="546"/>
    </row>
    <row r="25" spans="1:9" x14ac:dyDescent="0.25">
      <c r="A25" s="51" t="str">
        <f>'патриотика0,3643'!A24</f>
        <v>Методист</v>
      </c>
      <c r="B25" s="83">
        <f>'патриотика0,3643'!B24</f>
        <v>76206.899999999994</v>
      </c>
      <c r="C25" s="83"/>
      <c r="D25" s="94">
        <f>'патриотика0,3643'!D24</f>
        <v>0.36430000000000001</v>
      </c>
      <c r="E25" s="52">
        <f>'патриотика0,3643'!E24</f>
        <v>646.77822000000003</v>
      </c>
      <c r="F25" s="53">
        <v>1</v>
      </c>
      <c r="G25" s="54">
        <v>650.1</v>
      </c>
      <c r="H25" s="52">
        <v>561.70000000000005</v>
      </c>
      <c r="I25" s="52">
        <f>'патриотика0,3643'!I24</f>
        <v>441756.20142007997</v>
      </c>
    </row>
    <row r="26" spans="1:9" x14ac:dyDescent="0.25">
      <c r="A26" s="117" t="str">
        <f>A12</f>
        <v>Специалист по работе с молодежью</v>
      </c>
      <c r="B26" s="163">
        <f>'патриотика0,3643'!B25</f>
        <v>54332.9</v>
      </c>
      <c r="C26" s="163"/>
      <c r="D26" s="94">
        <f>'патриотика0,3643'!D25</f>
        <v>2.0400800000000001</v>
      </c>
      <c r="E26" s="52">
        <f>'патриотика0,3643'!E25</f>
        <v>3621.9580320000005</v>
      </c>
      <c r="F26" s="53">
        <v>1</v>
      </c>
      <c r="G26" s="54">
        <f>'патриотика0,3643'!G25</f>
        <v>3621.9580320000005</v>
      </c>
      <c r="H26" s="52">
        <f>B26*1.302/1774.4*12</f>
        <v>478.41367763751123</v>
      </c>
      <c r="I26" s="52">
        <f>G26*H26+7057.75+23000</f>
        <v>1762852.0123378427</v>
      </c>
    </row>
    <row r="27" spans="1:9" x14ac:dyDescent="0.25">
      <c r="A27" s="51" t="s">
        <v>8</v>
      </c>
      <c r="B27" s="54"/>
      <c r="C27" s="54"/>
      <c r="D27" s="94"/>
      <c r="E27" s="52"/>
      <c r="F27" s="53"/>
      <c r="G27" s="164"/>
      <c r="H27" s="84"/>
      <c r="I27" s="469">
        <f>SUM(I25:I26)</f>
        <v>2204608.2137579229</v>
      </c>
    </row>
    <row r="28" spans="1:9" x14ac:dyDescent="0.25">
      <c r="A28" s="138"/>
      <c r="B28" s="139"/>
      <c r="C28" s="139"/>
      <c r="D28" s="304"/>
      <c r="E28" s="140"/>
      <c r="F28" s="141"/>
    </row>
    <row r="29" spans="1:9" ht="14.45" hidden="1" customHeight="1" x14ac:dyDescent="0.25">
      <c r="A29" s="603" t="s">
        <v>166</v>
      </c>
      <c r="B29" s="603"/>
      <c r="C29" s="603"/>
      <c r="D29" s="603"/>
      <c r="E29" s="603"/>
      <c r="F29" s="603"/>
      <c r="G29" s="603"/>
      <c r="H29" s="603"/>
      <c r="I29" s="143"/>
    </row>
    <row r="30" spans="1:9" hidden="1" x14ac:dyDescent="0.25">
      <c r="A30" s="549" t="s">
        <v>60</v>
      </c>
      <c r="B30" s="582" t="s">
        <v>155</v>
      </c>
      <c r="C30" s="582"/>
      <c r="D30" s="582" t="s">
        <v>156</v>
      </c>
      <c r="E30" s="582"/>
      <c r="F30" s="582"/>
      <c r="G30" s="583"/>
      <c r="H30" s="583"/>
    </row>
    <row r="31" spans="1:9" hidden="1" x14ac:dyDescent="0.25">
      <c r="A31" s="550"/>
      <c r="B31" s="582"/>
      <c r="C31" s="582"/>
      <c r="D31" s="582" t="s">
        <v>157</v>
      </c>
      <c r="E31" s="549" t="s">
        <v>158</v>
      </c>
      <c r="F31" s="584" t="s">
        <v>159</v>
      </c>
      <c r="G31" s="549" t="s">
        <v>165</v>
      </c>
      <c r="H31" s="549" t="s">
        <v>6</v>
      </c>
    </row>
    <row r="32" spans="1:9" hidden="1" x14ac:dyDescent="0.25">
      <c r="A32" s="551"/>
      <c r="B32" s="582"/>
      <c r="C32" s="582"/>
      <c r="D32" s="582"/>
      <c r="E32" s="551"/>
      <c r="F32" s="584"/>
      <c r="G32" s="551"/>
      <c r="H32" s="551"/>
    </row>
    <row r="33" spans="1:11" hidden="1" x14ac:dyDescent="0.25">
      <c r="A33" s="208">
        <v>1</v>
      </c>
      <c r="B33" s="563">
        <v>2</v>
      </c>
      <c r="C33" s="564"/>
      <c r="D33" s="208">
        <v>3</v>
      </c>
      <c r="E33" s="208">
        <v>4</v>
      </c>
      <c r="F33" s="208">
        <v>5</v>
      </c>
      <c r="G33" s="166">
        <v>6</v>
      </c>
      <c r="H33" s="166">
        <v>7</v>
      </c>
    </row>
    <row r="34" spans="1:11" hidden="1" x14ac:dyDescent="0.25">
      <c r="A34" s="207" t="s">
        <v>93</v>
      </c>
      <c r="B34" s="207">
        <v>0.36699999999999999</v>
      </c>
      <c r="C34" s="283">
        <v>1</v>
      </c>
      <c r="D34" s="142">
        <v>2074.6</v>
      </c>
      <c r="E34" s="106">
        <f t="shared" ref="E34:E35" si="0">D34*12</f>
        <v>24895.199999999997</v>
      </c>
      <c r="F34" s="142">
        <f>18363.9*0.367</f>
        <v>6739.5513000000001</v>
      </c>
      <c r="G34" s="167">
        <f>F34*30.2%</f>
        <v>2035.3444926</v>
      </c>
      <c r="H34" s="167">
        <f>F34+G34</f>
        <v>8774.8957926000003</v>
      </c>
    </row>
    <row r="35" spans="1:11" hidden="1" x14ac:dyDescent="0.25">
      <c r="A35" s="207" t="s">
        <v>161</v>
      </c>
      <c r="B35" s="563">
        <f>5.6*0.367</f>
        <v>2.0551999999999997</v>
      </c>
      <c r="C35" s="564"/>
      <c r="D35" s="142">
        <f>1302.85*B35</f>
        <v>2677.6173199999994</v>
      </c>
      <c r="E35" s="106">
        <f t="shared" si="0"/>
        <v>32131.407839999993</v>
      </c>
      <c r="F35" s="142">
        <f>64311.87*0.367</f>
        <v>23602.456290000002</v>
      </c>
      <c r="G35" s="167">
        <f>F35*30.2%</f>
        <v>7127.9417995800004</v>
      </c>
      <c r="H35" s="167">
        <f>F35+G35</f>
        <v>30730.398089580001</v>
      </c>
    </row>
    <row r="36" spans="1:11" hidden="1" x14ac:dyDescent="0.25">
      <c r="A36" s="282"/>
      <c r="B36" s="581">
        <f>SUM(B34:C35)</f>
        <v>3.4221999999999997</v>
      </c>
      <c r="C36" s="581"/>
      <c r="D36" s="119">
        <f>SUM(D34:D35)</f>
        <v>4752.2173199999997</v>
      </c>
      <c r="E36" s="119">
        <f>SUM(E34:E35)</f>
        <v>57026.60783999999</v>
      </c>
      <c r="F36" s="119">
        <f>SUM(F34:F35)</f>
        <v>30342.007590000001</v>
      </c>
      <c r="G36" s="119">
        <f>SUM(G34:G35)</f>
        <v>9163.2862921800006</v>
      </c>
      <c r="H36" s="119"/>
    </row>
    <row r="37" spans="1:11" hidden="1" x14ac:dyDescent="0.25">
      <c r="A37" s="138"/>
      <c r="B37" s="139"/>
      <c r="C37" s="139"/>
      <c r="D37" s="304"/>
      <c r="E37" s="140"/>
      <c r="F37" s="141"/>
    </row>
    <row r="38" spans="1:11" ht="14.45" hidden="1" customHeight="1" x14ac:dyDescent="0.25">
      <c r="A38" s="603" t="s">
        <v>170</v>
      </c>
      <c r="B38" s="603"/>
      <c r="C38" s="603"/>
      <c r="D38" s="603"/>
      <c r="E38" s="603"/>
      <c r="F38" s="603"/>
      <c r="G38" s="603"/>
      <c r="H38" s="603"/>
      <c r="I38" s="143"/>
    </row>
    <row r="39" spans="1:11" ht="28.9" hidden="1" customHeight="1" x14ac:dyDescent="0.25">
      <c r="A39" s="549" t="s">
        <v>60</v>
      </c>
      <c r="B39" s="582" t="s">
        <v>155</v>
      </c>
      <c r="C39" s="582"/>
      <c r="D39" s="558" t="s">
        <v>156</v>
      </c>
      <c r="E39" s="560"/>
      <c r="F39" s="284"/>
      <c r="G39" s="35"/>
    </row>
    <row r="40" spans="1:11" ht="14.45" hidden="1" customHeight="1" x14ac:dyDescent="0.25">
      <c r="A40" s="550"/>
      <c r="B40" s="582"/>
      <c r="C40" s="582"/>
      <c r="D40" s="582" t="s">
        <v>157</v>
      </c>
      <c r="E40" s="549" t="s">
        <v>165</v>
      </c>
      <c r="F40" s="549" t="s">
        <v>169</v>
      </c>
      <c r="G40" s="35"/>
    </row>
    <row r="41" spans="1:11" hidden="1" x14ac:dyDescent="0.25">
      <c r="A41" s="551"/>
      <c r="B41" s="582"/>
      <c r="C41" s="582"/>
      <c r="D41" s="582"/>
      <c r="E41" s="551"/>
      <c r="F41" s="551"/>
      <c r="G41" s="35"/>
    </row>
    <row r="42" spans="1:11" hidden="1" x14ac:dyDescent="0.25">
      <c r="A42" s="208">
        <v>1</v>
      </c>
      <c r="B42" s="563">
        <v>2</v>
      </c>
      <c r="C42" s="564"/>
      <c r="D42" s="208">
        <v>3</v>
      </c>
      <c r="E42" s="166">
        <v>6</v>
      </c>
      <c r="F42" s="166">
        <v>7</v>
      </c>
      <c r="G42" s="35"/>
    </row>
    <row r="43" spans="1:11" hidden="1" x14ac:dyDescent="0.25">
      <c r="A43" s="207" t="s">
        <v>161</v>
      </c>
      <c r="B43" s="563">
        <f>5.6*0.367</f>
        <v>2.0551999999999997</v>
      </c>
      <c r="C43" s="564"/>
      <c r="D43" s="142">
        <v>4218.1400000000003</v>
      </c>
      <c r="E43" s="167">
        <f>D43*30.2%</f>
        <v>1273.8782800000001</v>
      </c>
      <c r="F43" s="167">
        <f>(E43+D43)*B43*12+0.64</f>
        <v>135446.991628672</v>
      </c>
      <c r="G43" s="35"/>
    </row>
    <row r="44" spans="1:11" hidden="1" x14ac:dyDescent="0.25">
      <c r="A44" s="282"/>
      <c r="B44" s="581">
        <f>SUM(B43:C43)</f>
        <v>2.0551999999999997</v>
      </c>
      <c r="C44" s="581"/>
      <c r="D44" s="119">
        <f>SUM(D43:D43)</f>
        <v>4218.1400000000003</v>
      </c>
      <c r="E44" s="119">
        <f>SUM(E43:E43)</f>
        <v>1273.8782800000001</v>
      </c>
      <c r="F44" s="119"/>
      <c r="G44" s="35"/>
    </row>
    <row r="45" spans="1:11" x14ac:dyDescent="0.25">
      <c r="A45" s="138"/>
      <c r="B45" s="139"/>
      <c r="C45" s="139"/>
      <c r="D45" s="304"/>
      <c r="E45" s="140"/>
      <c r="F45" s="141"/>
      <c r="J45" s="168">
        <f>I27</f>
        <v>2204608.2137579229</v>
      </c>
    </row>
    <row r="46" spans="1:11" x14ac:dyDescent="0.25">
      <c r="A46" s="138"/>
      <c r="B46" s="139"/>
      <c r="C46" s="139"/>
      <c r="D46" s="304"/>
      <c r="E46" s="140"/>
      <c r="F46" s="141"/>
      <c r="J46" s="36">
        <f>I86</f>
        <v>1262112.7069437841</v>
      </c>
    </row>
    <row r="47" spans="1:11" x14ac:dyDescent="0.25">
      <c r="A47" s="599" t="s">
        <v>59</v>
      </c>
      <c r="B47" s="599"/>
      <c r="C47" s="599"/>
      <c r="D47" s="599"/>
      <c r="E47" s="599"/>
      <c r="F47" s="599"/>
      <c r="J47" s="36">
        <f>J45+J46</f>
        <v>3466720.9207017068</v>
      </c>
      <c r="K47" s="35" t="s">
        <v>104</v>
      </c>
    </row>
    <row r="48" spans="1:11" ht="15.75" x14ac:dyDescent="0.25">
      <c r="A48" s="291" t="s">
        <v>81</v>
      </c>
      <c r="B48" s="41" t="s">
        <v>317</v>
      </c>
      <c r="C48" s="41"/>
      <c r="D48" s="41"/>
      <c r="E48" s="41"/>
      <c r="F48" s="41"/>
      <c r="J48" s="6">
        <v>3415671.44</v>
      </c>
      <c r="K48" s="35" t="s">
        <v>105</v>
      </c>
    </row>
    <row r="49" spans="1:10" x14ac:dyDescent="0.25">
      <c r="D49" s="42">
        <f>D19</f>
        <v>0.36430000000000001</v>
      </c>
    </row>
    <row r="50" spans="1:10" x14ac:dyDescent="0.25">
      <c r="A50" s="546" t="s">
        <v>27</v>
      </c>
      <c r="B50" s="546"/>
      <c r="C50" s="94"/>
      <c r="D50" s="546" t="s">
        <v>11</v>
      </c>
      <c r="E50" s="600" t="s">
        <v>48</v>
      </c>
      <c r="F50" s="600" t="s">
        <v>15</v>
      </c>
      <c r="G50" s="585" t="s">
        <v>6</v>
      </c>
      <c r="J50" s="36">
        <f>J48-J47</f>
        <v>-51049.480701706838</v>
      </c>
    </row>
    <row r="51" spans="1:10" hidden="1" x14ac:dyDescent="0.25">
      <c r="A51" s="546"/>
      <c r="B51" s="546"/>
      <c r="C51" s="94"/>
      <c r="D51" s="546"/>
      <c r="E51" s="601"/>
      <c r="F51" s="601"/>
      <c r="G51" s="586"/>
    </row>
    <row r="52" spans="1:10" x14ac:dyDescent="0.25">
      <c r="A52" s="538">
        <v>1</v>
      </c>
      <c r="B52" s="539"/>
      <c r="C52" s="288"/>
      <c r="D52" s="94">
        <v>2</v>
      </c>
      <c r="E52" s="53">
        <v>3</v>
      </c>
      <c r="F52" s="94">
        <v>4</v>
      </c>
      <c r="G52" s="55" t="s">
        <v>68</v>
      </c>
    </row>
    <row r="53" spans="1:10" ht="15.75" x14ac:dyDescent="0.25">
      <c r="A53" s="207" t="s">
        <v>188</v>
      </c>
      <c r="B53" s="305"/>
      <c r="C53" s="305"/>
      <c r="D53" s="208" t="s">
        <v>190</v>
      </c>
      <c r="E53" s="212">
        <f>23*D49*4</f>
        <v>33.515599999999999</v>
      </c>
      <c r="F53" s="371">
        <f>'патриотика0,3643'!F169</f>
        <v>450</v>
      </c>
      <c r="G53" s="55">
        <f>E53*F53+0.2</f>
        <v>15082.220000000001</v>
      </c>
    </row>
    <row r="54" spans="1:10" ht="15.75" x14ac:dyDescent="0.25">
      <c r="A54" s="207" t="s">
        <v>189</v>
      </c>
      <c r="B54" s="305"/>
      <c r="C54" s="305"/>
      <c r="D54" s="208" t="s">
        <v>39</v>
      </c>
      <c r="E54" s="212">
        <f>23*D49</f>
        <v>8.3788999999999998</v>
      </c>
      <c r="F54" s="371">
        <f>'патриотика0,3643'!F170</f>
        <v>8200</v>
      </c>
      <c r="G54" s="55">
        <f t="shared" ref="G54:G55" si="1">E54*F54</f>
        <v>68706.98</v>
      </c>
    </row>
    <row r="55" spans="1:10" ht="15.75" x14ac:dyDescent="0.25">
      <c r="A55" s="207" t="s">
        <v>234</v>
      </c>
      <c r="B55" s="305"/>
      <c r="C55" s="305"/>
      <c r="D55" s="208" t="s">
        <v>190</v>
      </c>
      <c r="E55" s="212">
        <f>23*3*D49</f>
        <v>25.136700000000001</v>
      </c>
      <c r="F55" s="371">
        <f>'патриотика0,3643'!F171</f>
        <v>2463.7600000000002</v>
      </c>
      <c r="G55" s="55">
        <f t="shared" si="1"/>
        <v>61930.795992000007</v>
      </c>
    </row>
    <row r="56" spans="1:10" x14ac:dyDescent="0.25">
      <c r="A56" s="597" t="s">
        <v>58</v>
      </c>
      <c r="B56" s="598"/>
      <c r="C56" s="292"/>
      <c r="D56" s="56"/>
      <c r="E56" s="344"/>
      <c r="F56" s="344"/>
      <c r="G56" s="472">
        <f>SUM(G53:G55)</f>
        <v>145719.99599200001</v>
      </c>
    </row>
    <row r="57" spans="1:10" x14ac:dyDescent="0.25">
      <c r="A57" s="57"/>
      <c r="B57" s="57"/>
      <c r="C57" s="57"/>
      <c r="D57" s="58"/>
      <c r="E57" s="58"/>
      <c r="F57" s="58"/>
      <c r="G57" s="59"/>
    </row>
    <row r="58" spans="1:10" x14ac:dyDescent="0.25">
      <c r="A58" s="599" t="s">
        <v>82</v>
      </c>
      <c r="B58" s="599"/>
      <c r="C58" s="599"/>
      <c r="D58" s="599"/>
      <c r="E58" s="599"/>
      <c r="F58" s="599"/>
    </row>
    <row r="59" spans="1:10" ht="14.45" customHeight="1" x14ac:dyDescent="0.25">
      <c r="D59" s="42"/>
      <c r="F59" s="35">
        <v>1</v>
      </c>
    </row>
    <row r="60" spans="1:10" x14ac:dyDescent="0.25">
      <c r="A60" s="546" t="s">
        <v>120</v>
      </c>
      <c r="B60" s="546"/>
      <c r="C60" s="94"/>
      <c r="D60" s="546" t="s">
        <v>11</v>
      </c>
      <c r="E60" s="600" t="s">
        <v>48</v>
      </c>
      <c r="F60" s="600" t="s">
        <v>15</v>
      </c>
      <c r="G60" s="585" t="s">
        <v>6</v>
      </c>
    </row>
    <row r="61" spans="1:10" ht="15" hidden="1" customHeight="1" x14ac:dyDescent="0.25">
      <c r="A61" s="546"/>
      <c r="B61" s="546"/>
      <c r="C61" s="94"/>
      <c r="D61" s="546"/>
      <c r="E61" s="601"/>
      <c r="F61" s="601"/>
      <c r="G61" s="586"/>
    </row>
    <row r="62" spans="1:10" x14ac:dyDescent="0.25">
      <c r="A62" s="587">
        <v>1</v>
      </c>
      <c r="B62" s="588"/>
      <c r="C62" s="288"/>
      <c r="D62" s="94">
        <v>2</v>
      </c>
      <c r="E62" s="293">
        <v>3</v>
      </c>
      <c r="F62" s="293">
        <v>4</v>
      </c>
      <c r="G62" s="55" t="s">
        <v>68</v>
      </c>
    </row>
    <row r="63" spans="1:10" ht="25.5" customHeight="1" x14ac:dyDescent="0.25">
      <c r="A63" s="565" t="s">
        <v>222</v>
      </c>
      <c r="B63" s="559"/>
      <c r="C63" s="253"/>
      <c r="D63" s="254" t="s">
        <v>192</v>
      </c>
      <c r="E63" s="331">
        <v>100</v>
      </c>
      <c r="F63" s="333">
        <v>1000</v>
      </c>
      <c r="G63" s="55">
        <f t="shared" ref="G63:G72" si="2">E63*F63</f>
        <v>100000</v>
      </c>
    </row>
    <row r="64" spans="1:10" ht="25.5" customHeight="1" x14ac:dyDescent="0.25">
      <c r="A64" s="565" t="s">
        <v>295</v>
      </c>
      <c r="B64" s="559"/>
      <c r="C64" s="237"/>
      <c r="D64" s="179" t="s">
        <v>192</v>
      </c>
      <c r="E64" s="331">
        <v>1</v>
      </c>
      <c r="F64" s="333">
        <v>250000</v>
      </c>
      <c r="G64" s="55">
        <f t="shared" si="2"/>
        <v>250000</v>
      </c>
    </row>
    <row r="65" spans="1:9" x14ac:dyDescent="0.25">
      <c r="A65" s="566" t="s">
        <v>232</v>
      </c>
      <c r="B65" s="567"/>
      <c r="C65" s="146"/>
      <c r="D65" s="208" t="s">
        <v>192</v>
      </c>
      <c r="E65" s="160">
        <v>200</v>
      </c>
      <c r="F65" s="333">
        <v>1000</v>
      </c>
      <c r="G65" s="55">
        <f t="shared" si="2"/>
        <v>200000</v>
      </c>
    </row>
    <row r="66" spans="1:9" hidden="1" x14ac:dyDescent="0.25">
      <c r="A66" s="545" t="s">
        <v>227</v>
      </c>
      <c r="B66" s="545"/>
      <c r="C66" s="238"/>
      <c r="D66" s="88" t="s">
        <v>122</v>
      </c>
      <c r="E66" s="160">
        <v>0</v>
      </c>
      <c r="F66" s="333">
        <v>2500</v>
      </c>
      <c r="G66" s="55">
        <f t="shared" si="2"/>
        <v>0</v>
      </c>
    </row>
    <row r="67" spans="1:9" hidden="1" x14ac:dyDescent="0.25">
      <c r="A67" s="545" t="s">
        <v>228</v>
      </c>
      <c r="B67" s="545"/>
      <c r="C67" s="238"/>
      <c r="D67" s="88" t="s">
        <v>123</v>
      </c>
      <c r="E67" s="160">
        <v>0</v>
      </c>
      <c r="F67" s="333">
        <v>500</v>
      </c>
      <c r="G67" s="55">
        <f t="shared" si="2"/>
        <v>0</v>
      </c>
    </row>
    <row r="68" spans="1:9" hidden="1" x14ac:dyDescent="0.25">
      <c r="A68" s="568" t="s">
        <v>229</v>
      </c>
      <c r="B68" s="568"/>
      <c r="C68" s="238"/>
      <c r="D68" s="88" t="s">
        <v>123</v>
      </c>
      <c r="E68" s="331">
        <v>0</v>
      </c>
      <c r="F68" s="333">
        <v>350</v>
      </c>
      <c r="G68" s="55">
        <f t="shared" si="2"/>
        <v>0</v>
      </c>
    </row>
    <row r="69" spans="1:9" hidden="1" x14ac:dyDescent="0.25">
      <c r="A69" s="569" t="s">
        <v>230</v>
      </c>
      <c r="B69" s="569"/>
      <c r="C69" s="238"/>
      <c r="D69" s="88"/>
      <c r="E69" s="332">
        <v>0</v>
      </c>
      <c r="F69" s="332"/>
      <c r="G69" s="55"/>
    </row>
    <row r="70" spans="1:9" hidden="1" x14ac:dyDescent="0.25">
      <c r="A70" s="570" t="s">
        <v>231</v>
      </c>
      <c r="B70" s="570"/>
      <c r="C70" s="237"/>
      <c r="D70" s="179" t="s">
        <v>84</v>
      </c>
      <c r="E70" s="332">
        <v>0</v>
      </c>
      <c r="F70" s="332">
        <v>500</v>
      </c>
      <c r="G70" s="55">
        <f t="shared" si="2"/>
        <v>0</v>
      </c>
    </row>
    <row r="71" spans="1:9" hidden="1" x14ac:dyDescent="0.25">
      <c r="A71" s="570" t="s">
        <v>222</v>
      </c>
      <c r="B71" s="570"/>
      <c r="C71" s="237"/>
      <c r="D71" s="179" t="s">
        <v>84</v>
      </c>
      <c r="E71" s="332">
        <v>0</v>
      </c>
      <c r="F71" s="332">
        <v>300</v>
      </c>
      <c r="G71" s="55">
        <f t="shared" si="2"/>
        <v>0</v>
      </c>
    </row>
    <row r="72" spans="1:9" hidden="1" x14ac:dyDescent="0.25">
      <c r="A72" s="545" t="s">
        <v>232</v>
      </c>
      <c r="B72" s="545"/>
      <c r="C72" s="237"/>
      <c r="D72" s="179" t="s">
        <v>84</v>
      </c>
      <c r="E72" s="160">
        <v>0</v>
      </c>
      <c r="F72" s="333">
        <v>500</v>
      </c>
      <c r="G72" s="55">
        <f t="shared" si="2"/>
        <v>0</v>
      </c>
    </row>
    <row r="73" spans="1:9" x14ac:dyDescent="0.25">
      <c r="A73" s="329"/>
      <c r="B73" s="330"/>
      <c r="C73" s="297"/>
      <c r="D73" s="56"/>
      <c r="E73" s="311"/>
      <c r="F73" s="334"/>
      <c r="G73" s="472">
        <f>SUM(G63:G72)</f>
        <v>550000</v>
      </c>
    </row>
    <row r="74" spans="1:9" x14ac:dyDescent="0.25">
      <c r="E74" s="36"/>
    </row>
    <row r="75" spans="1:9" ht="21.75" customHeight="1" x14ac:dyDescent="0.25">
      <c r="A75" s="602" t="str">
        <f>'патриотика0,3643'!A108</f>
        <v xml:space="preserve">Затраты на оплату труда работников, непосредственно НЕ связанных с выполнением работы </v>
      </c>
      <c r="B75" s="602"/>
      <c r="C75" s="602"/>
      <c r="D75" s="602"/>
      <c r="E75" s="602"/>
      <c r="F75" s="602"/>
    </row>
    <row r="76" spans="1:9" x14ac:dyDescent="0.25">
      <c r="A76" s="43"/>
      <c r="B76" s="43"/>
      <c r="C76" s="43"/>
      <c r="D76" s="43"/>
      <c r="E76" s="43"/>
      <c r="F76" s="44">
        <f>D49</f>
        <v>0.36430000000000001</v>
      </c>
    </row>
    <row r="77" spans="1:9" ht="63" customHeight="1" x14ac:dyDescent="0.25">
      <c r="A77" s="541" t="s">
        <v>0</v>
      </c>
      <c r="B77" s="546" t="s">
        <v>1</v>
      </c>
      <c r="C77" s="94"/>
      <c r="D77" s="546" t="s">
        <v>2</v>
      </c>
      <c r="E77" s="538" t="s">
        <v>3</v>
      </c>
      <c r="F77" s="539"/>
      <c r="G77" s="547" t="s">
        <v>35</v>
      </c>
      <c r="H77" s="94" t="s">
        <v>5</v>
      </c>
      <c r="I77" s="546" t="s">
        <v>6</v>
      </c>
    </row>
    <row r="78" spans="1:9" ht="29.25" customHeight="1" x14ac:dyDescent="0.25">
      <c r="A78" s="543"/>
      <c r="B78" s="546"/>
      <c r="C78" s="94"/>
      <c r="D78" s="546"/>
      <c r="E78" s="94" t="s">
        <v>281</v>
      </c>
      <c r="F78" s="94" t="s">
        <v>313</v>
      </c>
      <c r="G78" s="547"/>
      <c r="H78" s="94" t="s">
        <v>51</v>
      </c>
      <c r="I78" s="546"/>
    </row>
    <row r="79" spans="1:9" x14ac:dyDescent="0.25">
      <c r="A79" s="542"/>
      <c r="B79" s="546"/>
      <c r="C79" s="94"/>
      <c r="D79" s="546"/>
      <c r="E79" s="94" t="s">
        <v>4</v>
      </c>
      <c r="F79" s="49"/>
      <c r="G79" s="547"/>
      <c r="H79" s="94" t="s">
        <v>303</v>
      </c>
      <c r="I79" s="546"/>
    </row>
    <row r="80" spans="1:9" x14ac:dyDescent="0.25">
      <c r="A80" s="541">
        <v>1</v>
      </c>
      <c r="B80" s="546">
        <v>2</v>
      </c>
      <c r="C80" s="94"/>
      <c r="D80" s="546">
        <v>3</v>
      </c>
      <c r="E80" s="546" t="s">
        <v>302</v>
      </c>
      <c r="F80" s="546">
        <v>5</v>
      </c>
      <c r="G80" s="547" t="s">
        <v>7</v>
      </c>
      <c r="H80" s="94" t="s">
        <v>52</v>
      </c>
      <c r="I80" s="546" t="s">
        <v>53</v>
      </c>
    </row>
    <row r="81" spans="1:9" x14ac:dyDescent="0.25">
      <c r="A81" s="542"/>
      <c r="B81" s="546"/>
      <c r="C81" s="94"/>
      <c r="D81" s="546"/>
      <c r="E81" s="546"/>
      <c r="F81" s="546"/>
      <c r="G81" s="547"/>
      <c r="H81" s="50">
        <v>1774.4</v>
      </c>
      <c r="I81" s="546"/>
    </row>
    <row r="82" spans="1:9" x14ac:dyDescent="0.25">
      <c r="A82" s="336" t="s">
        <v>187</v>
      </c>
      <c r="B82" s="83">
        <f>'патриотика0,3643'!B115</f>
        <v>124826.37</v>
      </c>
      <c r="C82" s="83"/>
      <c r="D82" s="94">
        <f>1*F76</f>
        <v>0.36430000000000001</v>
      </c>
      <c r="E82" s="52">
        <f>D82*1774.4</f>
        <v>646.41392000000008</v>
      </c>
      <c r="F82" s="53">
        <v>1</v>
      </c>
      <c r="G82" s="54">
        <f>E82/F82</f>
        <v>646.41392000000008</v>
      </c>
      <c r="H82" s="52">
        <f>B82*1.302/1774.4*12</f>
        <v>1099.1248900360683</v>
      </c>
      <c r="I82" s="52">
        <f>G82*H82+15049.48</f>
        <v>725539.10873778397</v>
      </c>
    </row>
    <row r="83" spans="1:9" x14ac:dyDescent="0.25">
      <c r="A83" s="335" t="s">
        <v>141</v>
      </c>
      <c r="B83" s="83">
        <f>'патриотика0,3643'!B116</f>
        <v>37357</v>
      </c>
      <c r="C83" s="163"/>
      <c r="D83" s="94">
        <f>1*F76</f>
        <v>0.36430000000000001</v>
      </c>
      <c r="E83" s="52">
        <f>D83*1774.4</f>
        <v>646.41392000000008</v>
      </c>
      <c r="F83" s="53">
        <v>1</v>
      </c>
      <c r="G83" s="54">
        <f t="shared" ref="G83:G85" si="3">E83/F83</f>
        <v>646.41392000000008</v>
      </c>
      <c r="H83" s="52">
        <f>B83*1.302/1774.4*12</f>
        <v>328.93697475202885</v>
      </c>
      <c r="I83" s="52">
        <f>G83*H83+2000</f>
        <v>214629.43928240001</v>
      </c>
    </row>
    <row r="84" spans="1:9" x14ac:dyDescent="0.25">
      <c r="A84" s="335" t="s">
        <v>87</v>
      </c>
      <c r="B84" s="83">
        <f>'патриотика0,3643'!B117</f>
        <v>37357</v>
      </c>
      <c r="C84" s="54"/>
      <c r="D84" s="94">
        <f>0.5*F76</f>
        <v>0.18215000000000001</v>
      </c>
      <c r="E84" s="52">
        <f>D84*1774.4</f>
        <v>323.20696000000004</v>
      </c>
      <c r="F84" s="53">
        <v>1</v>
      </c>
      <c r="G84" s="54">
        <f t="shared" si="3"/>
        <v>323.20696000000004</v>
      </c>
      <c r="H84" s="52">
        <f>B84*1.302/1774.4*12</f>
        <v>328.93697475202885</v>
      </c>
      <c r="I84" s="52">
        <f>G84*H84+1000</f>
        <v>107314.7196412</v>
      </c>
    </row>
    <row r="85" spans="1:9" x14ac:dyDescent="0.25">
      <c r="A85" s="337" t="s">
        <v>142</v>
      </c>
      <c r="B85" s="83">
        <f>'патриотика0,3643'!B118</f>
        <v>37357</v>
      </c>
      <c r="C85" s="294"/>
      <c r="D85" s="94">
        <f>1*F76</f>
        <v>0.36430000000000001</v>
      </c>
      <c r="E85" s="52">
        <f>D85*1774.4</f>
        <v>646.41392000000008</v>
      </c>
      <c r="F85" s="53">
        <v>1</v>
      </c>
      <c r="G85" s="54">
        <f t="shared" si="3"/>
        <v>646.41392000000008</v>
      </c>
      <c r="H85" s="52">
        <f>B85*1.302/1774.4*12</f>
        <v>328.93697475202885</v>
      </c>
      <c r="I85" s="52">
        <f>G85*H85+2000</f>
        <v>214629.43928240001</v>
      </c>
    </row>
    <row r="86" spans="1:9" ht="15" customHeight="1" x14ac:dyDescent="0.25">
      <c r="A86" s="589" t="s">
        <v>28</v>
      </c>
      <c r="B86" s="590"/>
      <c r="C86" s="590"/>
      <c r="D86" s="590"/>
      <c r="E86" s="590"/>
      <c r="F86" s="591"/>
      <c r="G86" s="289"/>
      <c r="H86" s="289"/>
      <c r="I86" s="470">
        <f>SUM(I82:I85)</f>
        <v>1262112.7069437841</v>
      </c>
    </row>
    <row r="87" spans="1:9" x14ac:dyDescent="0.25">
      <c r="A87" s="144"/>
      <c r="B87" s="144"/>
      <c r="C87" s="144"/>
      <c r="D87" s="144"/>
      <c r="E87" s="144"/>
      <c r="F87" s="144"/>
      <c r="G87" s="165"/>
    </row>
    <row r="88" spans="1:9" x14ac:dyDescent="0.25">
      <c r="A88" s="144"/>
      <c r="B88" s="144"/>
      <c r="C88" s="144"/>
      <c r="D88" s="144"/>
      <c r="E88" s="144"/>
      <c r="F88" s="144"/>
      <c r="G88" s="165"/>
    </row>
    <row r="89" spans="1:9" s="41" customFormat="1" ht="14.45" customHeight="1" x14ac:dyDescent="0.25">
      <c r="A89" s="540" t="s">
        <v>310</v>
      </c>
      <c r="B89" s="540"/>
      <c r="C89" s="540"/>
      <c r="D89" s="540"/>
      <c r="E89" s="540"/>
      <c r="F89" s="540"/>
      <c r="G89" s="540"/>
      <c r="H89" s="540"/>
    </row>
    <row r="90" spans="1:9" s="41" customFormat="1" ht="14.45" customHeight="1" x14ac:dyDescent="0.25">
      <c r="A90" s="549" t="s">
        <v>60</v>
      </c>
      <c r="B90" s="552" t="s">
        <v>155</v>
      </c>
      <c r="C90" s="553"/>
      <c r="D90" s="558"/>
      <c r="E90" s="559"/>
      <c r="F90" s="560"/>
      <c r="G90" s="118"/>
      <c r="H90" s="118"/>
    </row>
    <row r="91" spans="1:9" s="41" customFormat="1" ht="14.45" customHeight="1" x14ac:dyDescent="0.25">
      <c r="A91" s="550"/>
      <c r="B91" s="554"/>
      <c r="C91" s="555"/>
      <c r="D91" s="561" t="s">
        <v>159</v>
      </c>
      <c r="E91" s="550" t="s">
        <v>165</v>
      </c>
      <c r="F91" s="550" t="s">
        <v>6</v>
      </c>
    </row>
    <row r="92" spans="1:9" s="41" customFormat="1" x14ac:dyDescent="0.25">
      <c r="A92" s="551"/>
      <c r="B92" s="556"/>
      <c r="C92" s="557"/>
      <c r="D92" s="562"/>
      <c r="E92" s="551"/>
      <c r="F92" s="551"/>
    </row>
    <row r="93" spans="1:9" s="41" customFormat="1" x14ac:dyDescent="0.25">
      <c r="A93" s="208">
        <v>1</v>
      </c>
      <c r="B93" s="563">
        <v>2</v>
      </c>
      <c r="C93" s="564"/>
      <c r="D93" s="208">
        <v>5</v>
      </c>
      <c r="E93" s="208">
        <v>6</v>
      </c>
      <c r="F93" s="208">
        <v>7</v>
      </c>
    </row>
    <row r="94" spans="1:9" s="41" customFormat="1" x14ac:dyDescent="0.25">
      <c r="A94" s="207" t="s">
        <v>162</v>
      </c>
      <c r="B94" s="208">
        <f>'патриотика0,3643'!B126</f>
        <v>0.36430000000000001</v>
      </c>
      <c r="C94" s="283"/>
      <c r="D94" s="142">
        <f>'патриотика0,3643'!D126</f>
        <v>26583.599999999999</v>
      </c>
      <c r="E94" s="173">
        <f t="shared" ref="E94:E96" si="4">D94*30.2%</f>
        <v>8028.2471999999989</v>
      </c>
      <c r="F94" s="173">
        <f>(D94+E94)*B94</f>
        <v>12609.09593496</v>
      </c>
    </row>
    <row r="95" spans="1:9" s="41" customFormat="1" x14ac:dyDescent="0.25">
      <c r="A95" s="207" t="s">
        <v>163</v>
      </c>
      <c r="B95" s="208">
        <f>'патриотика0,3643'!B127</f>
        <v>0.36430000000000001</v>
      </c>
      <c r="C95" s="283"/>
      <c r="D95" s="142">
        <f>'патриотика0,3643'!D127</f>
        <v>13297.32</v>
      </c>
      <c r="E95" s="173">
        <f t="shared" si="4"/>
        <v>4015.7906399999997</v>
      </c>
      <c r="F95" s="173">
        <f t="shared" ref="F95" si="5">(D95+E95)*B95</f>
        <v>6307.1662061520001</v>
      </c>
    </row>
    <row r="96" spans="1:9" s="41" customFormat="1" x14ac:dyDescent="0.25">
      <c r="A96" s="207" t="s">
        <v>142</v>
      </c>
      <c r="B96" s="208">
        <f>'патриотика0,3643'!B128</f>
        <v>0.36430000000000001</v>
      </c>
      <c r="C96" s="283"/>
      <c r="D96" s="142">
        <f>'патриотика0,3643'!D128</f>
        <v>26602.92</v>
      </c>
      <c r="E96" s="173">
        <f t="shared" si="4"/>
        <v>8034.0818399999989</v>
      </c>
      <c r="F96" s="173">
        <f>(D96+E96)*B96-15.91</f>
        <v>12602.349770311999</v>
      </c>
    </row>
    <row r="97" spans="1:7" s="41" customFormat="1" x14ac:dyDescent="0.25">
      <c r="A97" s="145"/>
      <c r="B97" s="282"/>
      <c r="C97" s="146"/>
      <c r="D97" s="119">
        <v>0</v>
      </c>
      <c r="E97" s="119">
        <v>0</v>
      </c>
      <c r="F97" s="471">
        <f>SUM(F94:F96)</f>
        <v>31518.611911423999</v>
      </c>
    </row>
    <row r="98" spans="1:7" x14ac:dyDescent="0.25">
      <c r="A98" s="144"/>
      <c r="B98" s="144"/>
      <c r="C98" s="144"/>
      <c r="D98" s="144"/>
      <c r="E98" s="144"/>
      <c r="F98" s="144"/>
      <c r="G98" s="165"/>
    </row>
    <row r="99" spans="1:7" hidden="1" x14ac:dyDescent="0.25">
      <c r="A99" s="608" t="s">
        <v>110</v>
      </c>
      <c r="B99" s="608"/>
      <c r="C99" s="608"/>
      <c r="D99" s="608"/>
      <c r="E99" s="608"/>
      <c r="F99" s="608"/>
    </row>
    <row r="100" spans="1:7" ht="38.25" hidden="1" x14ac:dyDescent="0.25">
      <c r="A100" s="207" t="s">
        <v>111</v>
      </c>
      <c r="B100" s="208" t="s">
        <v>112</v>
      </c>
      <c r="C100" s="305"/>
      <c r="D100" s="208" t="s">
        <v>116</v>
      </c>
      <c r="E100" s="208" t="s">
        <v>113</v>
      </c>
      <c r="F100" s="208" t="s">
        <v>114</v>
      </c>
      <c r="G100" s="295" t="s">
        <v>6</v>
      </c>
    </row>
    <row r="101" spans="1:7" hidden="1" x14ac:dyDescent="0.25">
      <c r="A101" s="207">
        <v>1</v>
      </c>
      <c r="B101" s="208">
        <v>2</v>
      </c>
      <c r="C101" s="305"/>
      <c r="D101" s="208">
        <v>3</v>
      </c>
      <c r="E101" s="208">
        <v>4</v>
      </c>
      <c r="F101" s="208">
        <v>5</v>
      </c>
      <c r="G101" s="256" t="s">
        <v>318</v>
      </c>
    </row>
    <row r="102" spans="1:7" hidden="1" x14ac:dyDescent="0.25">
      <c r="A102" s="208" t="s">
        <v>115</v>
      </c>
      <c r="B102" s="208">
        <v>1</v>
      </c>
      <c r="C102" s="208"/>
      <c r="D102" s="208">
        <v>12</v>
      </c>
      <c r="E102" s="208">
        <v>75</v>
      </c>
      <c r="F102" s="106">
        <v>0</v>
      </c>
      <c r="G102" s="85">
        <f>F102*F76</f>
        <v>0</v>
      </c>
    </row>
    <row r="103" spans="1:7" ht="14.45" hidden="1" customHeight="1" x14ac:dyDescent="0.25">
      <c r="A103" s="118"/>
      <c r="B103" s="118"/>
      <c r="C103" s="118"/>
      <c r="D103" s="118"/>
      <c r="E103" s="282" t="s">
        <v>88</v>
      </c>
      <c r="F103" s="119"/>
      <c r="G103" s="257">
        <f>G102</f>
        <v>0</v>
      </c>
    </row>
    <row r="104" spans="1:7" x14ac:dyDescent="0.25">
      <c r="A104" s="46"/>
      <c r="B104" s="45"/>
      <c r="C104" s="45"/>
      <c r="D104" s="45"/>
      <c r="E104" s="45"/>
      <c r="F104" s="45"/>
    </row>
    <row r="105" spans="1:7" ht="15.75" x14ac:dyDescent="0.25">
      <c r="A105" s="544" t="s">
        <v>12</v>
      </c>
      <c r="B105" s="544"/>
      <c r="C105" s="544"/>
      <c r="D105" s="544"/>
      <c r="E105" s="544"/>
      <c r="F105" s="544"/>
    </row>
    <row r="106" spans="1:7" x14ac:dyDescent="0.25">
      <c r="A106" s="609"/>
      <c r="B106" s="609"/>
      <c r="C106" s="609"/>
      <c r="D106" s="609"/>
      <c r="E106" s="609"/>
      <c r="F106" s="45"/>
    </row>
    <row r="107" spans="1:7" x14ac:dyDescent="0.25">
      <c r="A107" s="45"/>
      <c r="B107" s="45"/>
      <c r="C107" s="45"/>
      <c r="D107" s="45"/>
      <c r="E107" s="45"/>
      <c r="F107" s="47">
        <f>F76</f>
        <v>0.36430000000000001</v>
      </c>
    </row>
    <row r="108" spans="1:7" x14ac:dyDescent="0.25">
      <c r="A108" s="548" t="s">
        <v>13</v>
      </c>
      <c r="B108" s="548" t="s">
        <v>11</v>
      </c>
      <c r="C108" s="299"/>
      <c r="D108" s="548" t="s">
        <v>14</v>
      </c>
      <c r="E108" s="548" t="s">
        <v>15</v>
      </c>
      <c r="F108" s="548" t="s">
        <v>6</v>
      </c>
    </row>
    <row r="109" spans="1:7" x14ac:dyDescent="0.25">
      <c r="A109" s="548"/>
      <c r="B109" s="548"/>
      <c r="C109" s="299"/>
      <c r="D109" s="548"/>
      <c r="E109" s="548"/>
      <c r="F109" s="548"/>
    </row>
    <row r="110" spans="1:7" x14ac:dyDescent="0.25">
      <c r="A110" s="299">
        <v>1</v>
      </c>
      <c r="B110" s="299">
        <v>2</v>
      </c>
      <c r="C110" s="299"/>
      <c r="D110" s="299">
        <v>3</v>
      </c>
      <c r="E110" s="299">
        <v>4</v>
      </c>
      <c r="F110" s="299" t="s">
        <v>89</v>
      </c>
    </row>
    <row r="111" spans="1:7" ht="15.75" x14ac:dyDescent="0.25">
      <c r="A111" s="207" t="str">
        <f>'патриотика0,3643'!A147</f>
        <v>Теплоэнергия</v>
      </c>
      <c r="B111" s="317" t="s">
        <v>18</v>
      </c>
      <c r="C111" s="208"/>
      <c r="D111" s="106">
        <f>'патриотика0,3643'!D147</f>
        <v>20.0365</v>
      </c>
      <c r="E111" s="106">
        <f>'патриотика0,3643'!E147</f>
        <v>3800</v>
      </c>
      <c r="F111" s="54">
        <f>D111*E111</f>
        <v>76138.7</v>
      </c>
    </row>
    <row r="112" spans="1:7" ht="18.75" x14ac:dyDescent="0.25">
      <c r="A112" s="207" t="str">
        <f>'патриотика0,3643'!A148</f>
        <v xml:space="preserve">Водоснабжение </v>
      </c>
      <c r="B112" s="317" t="s">
        <v>193</v>
      </c>
      <c r="C112" s="208"/>
      <c r="D112" s="106">
        <f>'патриотика0,3643'!D148</f>
        <v>38.725090000000002</v>
      </c>
      <c r="E112" s="106">
        <f>'патриотика0,3643'!E148</f>
        <v>80</v>
      </c>
      <c r="F112" s="54">
        <f t="shared" ref="F112:F116" si="6">D112*E112</f>
        <v>3098.0072</v>
      </c>
    </row>
    <row r="113" spans="1:7" ht="18.75" x14ac:dyDescent="0.25">
      <c r="A113" s="207" t="str">
        <f>'патриотика0,3643'!A149</f>
        <v>Водоотведение (септик)</v>
      </c>
      <c r="B113" s="317" t="s">
        <v>54</v>
      </c>
      <c r="C113" s="208"/>
      <c r="D113" s="106">
        <f>'патриотика0,3643'!D149</f>
        <v>1.0929</v>
      </c>
      <c r="E113" s="106">
        <f>'патриотика0,3643'!E149</f>
        <v>18000</v>
      </c>
      <c r="F113" s="54">
        <f t="shared" si="6"/>
        <v>19672.2</v>
      </c>
    </row>
    <row r="114" spans="1:7" ht="15.75" x14ac:dyDescent="0.25">
      <c r="A114" s="207" t="str">
        <f>'патриотика0,3643'!A150</f>
        <v>Электроэнергия</v>
      </c>
      <c r="B114" s="317" t="s">
        <v>83</v>
      </c>
      <c r="C114" s="208"/>
      <c r="D114" s="106">
        <f>'патриотика0,3643'!D150</f>
        <v>2.1858</v>
      </c>
      <c r="E114" s="106">
        <f>'патриотика0,3643'!E150</f>
        <v>8000</v>
      </c>
      <c r="F114" s="54">
        <f t="shared" si="6"/>
        <v>17486.400000000001</v>
      </c>
    </row>
    <row r="115" spans="1:7" x14ac:dyDescent="0.25">
      <c r="A115" s="207" t="str">
        <f>'патриотика0,3643'!A151</f>
        <v>ТКО</v>
      </c>
      <c r="B115" s="299" t="s">
        <v>22</v>
      </c>
      <c r="C115" s="208"/>
      <c r="D115" s="106">
        <f>'патриотика0,3643'!D151</f>
        <v>2.9144000000000001</v>
      </c>
      <c r="E115" s="106">
        <f>'патриотика0,3643'!E151</f>
        <v>2350</v>
      </c>
      <c r="F115" s="54">
        <f t="shared" si="6"/>
        <v>6848.84</v>
      </c>
    </row>
    <row r="116" spans="1:7" ht="15.75" x14ac:dyDescent="0.25">
      <c r="A116" s="207" t="str">
        <f>'патриотика0,3643'!A152</f>
        <v>Электроэнергия (резерв)</v>
      </c>
      <c r="B116" s="317" t="s">
        <v>83</v>
      </c>
      <c r="C116" s="208"/>
      <c r="D116" s="106">
        <f>'патриотика0,3643'!D152</f>
        <v>1.8215000000000001</v>
      </c>
      <c r="E116" s="106">
        <f>'патриотика0,3643'!E152</f>
        <v>8339.2000000000007</v>
      </c>
      <c r="F116" s="54">
        <f t="shared" si="6"/>
        <v>15189.852800000002</v>
      </c>
    </row>
    <row r="117" spans="1:7" x14ac:dyDescent="0.25">
      <c r="A117" s="612"/>
      <c r="B117" s="613"/>
      <c r="C117" s="613"/>
      <c r="D117" s="613"/>
      <c r="E117" s="614"/>
      <c r="F117" s="473">
        <f>SUM(F111:F116)</f>
        <v>138434</v>
      </c>
    </row>
    <row r="118" spans="1:7" ht="15" hidden="1" customHeight="1" x14ac:dyDescent="0.25">
      <c r="A118" s="615" t="s">
        <v>44</v>
      </c>
      <c r="B118" s="615"/>
      <c r="C118" s="615"/>
      <c r="D118" s="615"/>
      <c r="E118" s="615"/>
      <c r="F118" s="615"/>
    </row>
    <row r="119" spans="1:7" hidden="1" x14ac:dyDescent="0.25">
      <c r="A119" s="291" t="s">
        <v>81</v>
      </c>
      <c r="B119" s="41" t="s">
        <v>191</v>
      </c>
      <c r="C119" s="41"/>
      <c r="D119" s="41"/>
      <c r="E119" s="41"/>
      <c r="F119" s="41"/>
    </row>
    <row r="120" spans="1:7" hidden="1" x14ac:dyDescent="0.25">
      <c r="D120" s="42">
        <f>F107</f>
        <v>0.36430000000000001</v>
      </c>
    </row>
    <row r="121" spans="1:7" hidden="1" x14ac:dyDescent="0.25">
      <c r="A121" s="538" t="s">
        <v>107</v>
      </c>
      <c r="B121" s="539"/>
      <c r="C121" s="94"/>
      <c r="D121" s="94" t="s">
        <v>11</v>
      </c>
      <c r="E121" s="94" t="s">
        <v>48</v>
      </c>
      <c r="F121" s="94" t="s">
        <v>15</v>
      </c>
      <c r="G121" s="286" t="s">
        <v>6</v>
      </c>
    </row>
    <row r="122" spans="1:7" hidden="1" x14ac:dyDescent="0.25">
      <c r="A122" s="538">
        <v>1</v>
      </c>
      <c r="B122" s="539"/>
      <c r="C122" s="288"/>
      <c r="D122" s="94">
        <v>2</v>
      </c>
      <c r="E122" s="94">
        <v>3</v>
      </c>
      <c r="F122" s="94">
        <v>4</v>
      </c>
      <c r="G122" s="60" t="s">
        <v>68</v>
      </c>
    </row>
    <row r="123" spans="1:7" hidden="1" x14ac:dyDescent="0.25">
      <c r="A123" s="610" t="str">
        <f>A53</f>
        <v>Суточные</v>
      </c>
      <c r="B123" s="611"/>
      <c r="C123" s="298"/>
      <c r="D123" s="94" t="str">
        <f>D53</f>
        <v>сутки</v>
      </c>
      <c r="E123" s="210">
        <f>D120</f>
        <v>0.36430000000000001</v>
      </c>
      <c r="F123" s="295">
        <f>F53</f>
        <v>450</v>
      </c>
      <c r="G123" s="60">
        <f>E123*F123</f>
        <v>163.935</v>
      </c>
    </row>
    <row r="124" spans="1:7" hidden="1" x14ac:dyDescent="0.25">
      <c r="A124" s="610" t="str">
        <f>A54</f>
        <v>Проезд</v>
      </c>
      <c r="B124" s="611"/>
      <c r="C124" s="298"/>
      <c r="D124" s="94" t="str">
        <f>D54</f>
        <v xml:space="preserve">Ед. </v>
      </c>
      <c r="E124" s="210">
        <v>0.33500000000000002</v>
      </c>
      <c r="F124" s="295">
        <f>F54</f>
        <v>8200</v>
      </c>
      <c r="G124" s="60">
        <f>E124*F124</f>
        <v>2747</v>
      </c>
    </row>
    <row r="125" spans="1:7" hidden="1" x14ac:dyDescent="0.25">
      <c r="A125" s="610" t="str">
        <f>A55</f>
        <v xml:space="preserve">Проживание </v>
      </c>
      <c r="B125" s="611"/>
      <c r="C125" s="298"/>
      <c r="D125" s="94" t="str">
        <f>D55</f>
        <v>сутки</v>
      </c>
      <c r="E125" s="210">
        <v>0.33500000000000002</v>
      </c>
      <c r="F125" s="295">
        <f>F55</f>
        <v>2463.7600000000002</v>
      </c>
      <c r="G125" s="60">
        <f>E125*F125-0.25</f>
        <v>825.10960000000011</v>
      </c>
    </row>
    <row r="126" spans="1:7" hidden="1" x14ac:dyDescent="0.25">
      <c r="A126" s="597" t="s">
        <v>106</v>
      </c>
      <c r="B126" s="598"/>
      <c r="C126" s="292"/>
      <c r="D126" s="56"/>
      <c r="E126" s="61"/>
      <c r="F126" s="61"/>
      <c r="G126" s="251">
        <v>0</v>
      </c>
    </row>
    <row r="127" spans="1:7" x14ac:dyDescent="0.25">
      <c r="A127" s="607" t="s">
        <v>36</v>
      </c>
      <c r="B127" s="607"/>
      <c r="C127" s="607"/>
      <c r="D127" s="607"/>
      <c r="E127" s="607"/>
      <c r="F127" s="607"/>
    </row>
    <row r="128" spans="1:7" x14ac:dyDescent="0.25">
      <c r="D128" s="48">
        <f>D120</f>
        <v>0.36430000000000001</v>
      </c>
    </row>
    <row r="129" spans="1:7" x14ac:dyDescent="0.25">
      <c r="A129" s="546" t="s">
        <v>24</v>
      </c>
      <c r="B129" s="546" t="s">
        <v>11</v>
      </c>
      <c r="C129" s="94"/>
      <c r="D129" s="546" t="s">
        <v>48</v>
      </c>
      <c r="E129" s="546" t="s">
        <v>15</v>
      </c>
      <c r="F129" s="604" t="s">
        <v>177</v>
      </c>
      <c r="G129" s="605" t="s">
        <v>6</v>
      </c>
    </row>
    <row r="130" spans="1:7" ht="3.6" customHeight="1" x14ac:dyDescent="0.25">
      <c r="A130" s="546"/>
      <c r="B130" s="546"/>
      <c r="C130" s="94"/>
      <c r="D130" s="546"/>
      <c r="E130" s="546"/>
      <c r="F130" s="604"/>
      <c r="G130" s="605"/>
    </row>
    <row r="131" spans="1:7" x14ac:dyDescent="0.25">
      <c r="A131" s="94">
        <v>1</v>
      </c>
      <c r="B131" s="94">
        <v>2</v>
      </c>
      <c r="C131" s="94"/>
      <c r="D131" s="94">
        <v>3</v>
      </c>
      <c r="E131" s="94">
        <v>4</v>
      </c>
      <c r="F131" s="94">
        <v>5</v>
      </c>
      <c r="G131" s="60" t="s">
        <v>69</v>
      </c>
    </row>
    <row r="132" spans="1:7" ht="15.75" x14ac:dyDescent="0.25">
      <c r="A132" s="372" t="s">
        <v>240</v>
      </c>
      <c r="B132" s="208" t="s">
        <v>192</v>
      </c>
      <c r="C132" s="208"/>
      <c r="D132" s="352">
        <f>'патриотика0,3643'!D178</f>
        <v>94.546778999999987</v>
      </c>
      <c r="E132" s="345">
        <f>'патриотика0,3643'!E178</f>
        <v>6.5</v>
      </c>
      <c r="F132" s="94">
        <v>12</v>
      </c>
      <c r="G132" s="60">
        <f t="shared" ref="G132:G136" si="7">D132*E132*F132</f>
        <v>7374.6487619999989</v>
      </c>
    </row>
    <row r="133" spans="1:7" ht="15.75" x14ac:dyDescent="0.25">
      <c r="A133" s="372" t="s">
        <v>241</v>
      </c>
      <c r="B133" s="208" t="s">
        <v>192</v>
      </c>
      <c r="C133" s="208"/>
      <c r="D133" s="352">
        <f>'патриотика0,3643'!D179</f>
        <v>5.4645000000000001</v>
      </c>
      <c r="E133" s="345">
        <f>'патриотика0,3643'!E179</f>
        <v>15</v>
      </c>
      <c r="F133" s="94">
        <v>12</v>
      </c>
      <c r="G133" s="60">
        <f t="shared" si="7"/>
        <v>983.61</v>
      </c>
    </row>
    <row r="134" spans="1:7" ht="15.75" x14ac:dyDescent="0.25">
      <c r="A134" s="372" t="s">
        <v>176</v>
      </c>
      <c r="B134" s="208" t="s">
        <v>192</v>
      </c>
      <c r="C134" s="208"/>
      <c r="D134" s="352">
        <f>'патриотика0,3643'!D180</f>
        <v>0.36430000000000001</v>
      </c>
      <c r="E134" s="345">
        <f>'патриотика0,3643'!E180</f>
        <v>2240</v>
      </c>
      <c r="F134" s="94">
        <v>12</v>
      </c>
      <c r="G134" s="60">
        <f t="shared" si="7"/>
        <v>9792.384</v>
      </c>
    </row>
    <row r="135" spans="1:7" ht="15.75" x14ac:dyDescent="0.25">
      <c r="A135" s="372" t="s">
        <v>242</v>
      </c>
      <c r="B135" s="208" t="s">
        <v>192</v>
      </c>
      <c r="C135" s="208"/>
      <c r="D135" s="352">
        <f>'патриотика0,3643'!D181</f>
        <v>0.36430000000000001</v>
      </c>
      <c r="E135" s="345">
        <f>'патриотика0,3643'!E181</f>
        <v>16000</v>
      </c>
      <c r="F135" s="94">
        <v>12</v>
      </c>
      <c r="G135" s="60">
        <f>D135*E135*F135-8.5</f>
        <v>69937.100000000006</v>
      </c>
    </row>
    <row r="136" spans="1:7" ht="15.75" x14ac:dyDescent="0.25">
      <c r="A136" s="372" t="s">
        <v>243</v>
      </c>
      <c r="B136" s="208" t="s">
        <v>192</v>
      </c>
      <c r="C136" s="208"/>
      <c r="D136" s="352">
        <v>0</v>
      </c>
      <c r="E136" s="345">
        <v>0</v>
      </c>
      <c r="F136" s="94">
        <v>1</v>
      </c>
      <c r="G136" s="60">
        <f t="shared" si="7"/>
        <v>0</v>
      </c>
    </row>
    <row r="137" spans="1:7" x14ac:dyDescent="0.25">
      <c r="A137" s="606" t="s">
        <v>26</v>
      </c>
      <c r="B137" s="606"/>
      <c r="C137" s="606"/>
      <c r="D137" s="606"/>
      <c r="E137" s="606"/>
      <c r="F137" s="606"/>
      <c r="G137" s="469">
        <f>SUM(G132:G136)</f>
        <v>88087.742762000009</v>
      </c>
    </row>
    <row r="138" spans="1:7" x14ac:dyDescent="0.25">
      <c r="A138" s="607" t="s">
        <v>55</v>
      </c>
      <c r="B138" s="607"/>
      <c r="C138" s="607"/>
      <c r="D138" s="607"/>
      <c r="E138" s="607"/>
      <c r="F138" s="607"/>
    </row>
    <row r="139" spans="1:7" x14ac:dyDescent="0.25">
      <c r="D139" s="48">
        <f>D128</f>
        <v>0.36430000000000001</v>
      </c>
    </row>
    <row r="140" spans="1:7" x14ac:dyDescent="0.25">
      <c r="A140" s="546" t="s">
        <v>194</v>
      </c>
      <c r="B140" s="546" t="s">
        <v>11</v>
      </c>
      <c r="C140" s="94"/>
      <c r="D140" s="546" t="s">
        <v>48</v>
      </c>
      <c r="E140" s="546" t="s">
        <v>15</v>
      </c>
      <c r="F140" s="546" t="s">
        <v>25</v>
      </c>
      <c r="G140" s="585" t="s">
        <v>6</v>
      </c>
    </row>
    <row r="141" spans="1:7" hidden="1" x14ac:dyDescent="0.25">
      <c r="A141" s="546"/>
      <c r="B141" s="546"/>
      <c r="C141" s="94"/>
      <c r="D141" s="546"/>
      <c r="E141" s="546"/>
      <c r="F141" s="546"/>
      <c r="G141" s="586"/>
    </row>
    <row r="142" spans="1:7" x14ac:dyDescent="0.25">
      <c r="A142" s="94">
        <v>1</v>
      </c>
      <c r="B142" s="94">
        <v>2</v>
      </c>
      <c r="C142" s="94"/>
      <c r="D142" s="94">
        <v>3</v>
      </c>
      <c r="E142" s="94">
        <v>4</v>
      </c>
      <c r="F142" s="94">
        <v>5</v>
      </c>
      <c r="G142" s="55" t="s">
        <v>70</v>
      </c>
    </row>
    <row r="143" spans="1:7" hidden="1" x14ac:dyDescent="0.25">
      <c r="A143" s="117" t="s">
        <v>208</v>
      </c>
      <c r="B143" s="94" t="s">
        <v>122</v>
      </c>
      <c r="C143" s="94"/>
      <c r="D143" s="94">
        <v>0</v>
      </c>
      <c r="E143" s="94">
        <v>0</v>
      </c>
      <c r="F143" s="94">
        <v>1</v>
      </c>
      <c r="G143" s="55">
        <f>D143*E143</f>
        <v>0</v>
      </c>
    </row>
    <row r="144" spans="1:7" x14ac:dyDescent="0.25">
      <c r="A144" s="51" t="s">
        <v>178</v>
      </c>
      <c r="B144" s="94" t="s">
        <v>22</v>
      </c>
      <c r="C144" s="94"/>
      <c r="D144" s="94">
        <f>1*D139</f>
        <v>0.36430000000000001</v>
      </c>
      <c r="E144" s="295">
        <f>'патриотика0,3643'!E189</f>
        <v>58000</v>
      </c>
      <c r="F144" s="94">
        <v>1</v>
      </c>
      <c r="G144" s="55">
        <f>D144*E144*F144</f>
        <v>21129.4</v>
      </c>
    </row>
    <row r="145" spans="1:7" x14ac:dyDescent="0.25">
      <c r="A145" s="623" t="s">
        <v>56</v>
      </c>
      <c r="B145" s="624"/>
      <c r="C145" s="624"/>
      <c r="D145" s="624"/>
      <c r="E145" s="624"/>
      <c r="F145" s="625"/>
      <c r="G145" s="474">
        <f>SUM(G143:G144)</f>
        <v>21129.4</v>
      </c>
    </row>
    <row r="146" spans="1:7" x14ac:dyDescent="0.25">
      <c r="A146" s="607" t="s">
        <v>19</v>
      </c>
      <c r="B146" s="607"/>
      <c r="C146" s="607"/>
      <c r="D146" s="607"/>
      <c r="E146" s="607"/>
      <c r="F146" s="607"/>
    </row>
    <row r="147" spans="1:7" x14ac:dyDescent="0.25">
      <c r="A147" s="626" t="s">
        <v>20</v>
      </c>
      <c r="B147" s="626"/>
      <c r="C147" s="626"/>
      <c r="D147" s="626"/>
      <c r="E147" s="626"/>
      <c r="F147" s="626"/>
    </row>
    <row r="148" spans="1:7" x14ac:dyDescent="0.25">
      <c r="D148" s="48">
        <f>D139</f>
        <v>0.36430000000000001</v>
      </c>
    </row>
    <row r="149" spans="1:7" x14ac:dyDescent="0.25">
      <c r="A149" s="546" t="s">
        <v>21</v>
      </c>
      <c r="B149" s="546" t="s">
        <v>11</v>
      </c>
      <c r="C149" s="94"/>
      <c r="D149" s="546" t="s">
        <v>14</v>
      </c>
      <c r="E149" s="546" t="s">
        <v>15</v>
      </c>
      <c r="F149" s="546" t="s">
        <v>6</v>
      </c>
    </row>
    <row r="150" spans="1:7" x14ac:dyDescent="0.25">
      <c r="A150" s="546"/>
      <c r="B150" s="546"/>
      <c r="C150" s="94"/>
      <c r="D150" s="546"/>
      <c r="E150" s="546"/>
      <c r="F150" s="546"/>
    </row>
    <row r="151" spans="1:7" x14ac:dyDescent="0.25">
      <c r="A151" s="293">
        <v>1</v>
      </c>
      <c r="B151" s="293">
        <v>2</v>
      </c>
      <c r="C151" s="293"/>
      <c r="D151" s="293">
        <v>3</v>
      </c>
      <c r="E151" s="293">
        <v>7</v>
      </c>
      <c r="F151" s="293" t="s">
        <v>180</v>
      </c>
    </row>
    <row r="152" spans="1:7" x14ac:dyDescent="0.25">
      <c r="A152" s="385" t="str">
        <f>'патриотика0,3643'!A196</f>
        <v xml:space="preserve">Мониторинг систем пожарной сигнализации  </v>
      </c>
      <c r="B152" s="208" t="str">
        <f t="shared" ref="B152:B153" si="8">$B$144</f>
        <v>договор</v>
      </c>
      <c r="C152" s="293"/>
      <c r="D152" s="293">
        <f>'патриотика0,3643'!D196</f>
        <v>4.3715999999999999</v>
      </c>
      <c r="E152" s="293">
        <f>'патриотика0,3643'!E196</f>
        <v>3000</v>
      </c>
      <c r="F152" s="295">
        <f t="shared" ref="F152:F153" si="9">D152*E152</f>
        <v>13114.8</v>
      </c>
    </row>
    <row r="153" spans="1:7" x14ac:dyDescent="0.25">
      <c r="A153" s="385" t="str">
        <f>'патриотика0,3643'!A197</f>
        <v xml:space="preserve">Уборка территории от снега </v>
      </c>
      <c r="B153" s="208" t="str">
        <f t="shared" si="8"/>
        <v>договор</v>
      </c>
      <c r="C153" s="293"/>
      <c r="D153" s="293">
        <f>'патриотика0,3643'!D197</f>
        <v>0.72860000000000003</v>
      </c>
      <c r="E153" s="293">
        <f>'патриотика0,3643'!E197</f>
        <v>29988.28</v>
      </c>
      <c r="F153" s="295">
        <f t="shared" si="9"/>
        <v>21849.460808</v>
      </c>
    </row>
    <row r="154" spans="1:7" x14ac:dyDescent="0.25">
      <c r="A154" s="385" t="str">
        <f>'патриотика0,3643'!A198</f>
        <v>Профилактическая дезинфекция</v>
      </c>
      <c r="B154" s="208" t="str">
        <f>$B$144</f>
        <v>договор</v>
      </c>
      <c r="C154" s="208"/>
      <c r="D154" s="293">
        <f>'патриотика0,3643'!D198</f>
        <v>0.36430000000000001</v>
      </c>
      <c r="E154" s="293">
        <f>'патриотика0,3643'!E198</f>
        <v>6712.44</v>
      </c>
      <c r="F154" s="295">
        <f>D154*E154</f>
        <v>2445.3418919999999</v>
      </c>
    </row>
    <row r="155" spans="1:7" ht="30" x14ac:dyDescent="0.25">
      <c r="A155" s="385" t="str">
        <f>'патриотика0,3643'!A199</f>
        <v>Комплексное обслуживание системы тепловодоснабжения и конструктивных элементов здания</v>
      </c>
      <c r="B155" s="208" t="str">
        <f t="shared" ref="B155:B168" si="10">$B$144</f>
        <v>договор</v>
      </c>
      <c r="C155" s="88"/>
      <c r="D155" s="293">
        <f>'патриотика0,3643'!D199</f>
        <v>0.36430000000000001</v>
      </c>
      <c r="E155" s="293">
        <f>'патриотика0,3643'!E199</f>
        <v>40000</v>
      </c>
      <c r="F155" s="295">
        <f t="shared" ref="F155:F168" si="11">D155*E155</f>
        <v>14572</v>
      </c>
    </row>
    <row r="156" spans="1:7" x14ac:dyDescent="0.25">
      <c r="A156" s="385" t="str">
        <f>'патриотика0,3643'!A200</f>
        <v>Договор осмотр технического состояния автомобиля</v>
      </c>
      <c r="B156" s="208" t="str">
        <f t="shared" si="10"/>
        <v>договор</v>
      </c>
      <c r="C156" s="88"/>
      <c r="D156" s="293">
        <f>'патриотика0,3643'!D200</f>
        <v>76.503</v>
      </c>
      <c r="E156" s="293">
        <f>'патриотика0,3643'!E200</f>
        <v>249.1</v>
      </c>
      <c r="F156" s="295">
        <f t="shared" si="11"/>
        <v>19056.897300000001</v>
      </c>
    </row>
    <row r="157" spans="1:7" ht="30" customHeight="1" x14ac:dyDescent="0.25">
      <c r="A157" s="385" t="str">
        <f>'патриотика0,3643'!A201</f>
        <v>Техническое обслуживание систем пожарной сигнализации</v>
      </c>
      <c r="B157" s="208" t="str">
        <f t="shared" si="10"/>
        <v>договор</v>
      </c>
      <c r="C157" s="88"/>
      <c r="D157" s="293">
        <f>'патриотика0,3643'!D201</f>
        <v>4.3715999999999999</v>
      </c>
      <c r="E157" s="293">
        <f>'патриотика0,3643'!E201</f>
        <v>1000</v>
      </c>
      <c r="F157" s="295">
        <f t="shared" si="11"/>
        <v>4371.6000000000004</v>
      </c>
    </row>
    <row r="158" spans="1:7" x14ac:dyDescent="0.25">
      <c r="A158" s="385" t="str">
        <f>'патриотика0,3643'!A202</f>
        <v>ремонт оборудования</v>
      </c>
      <c r="B158" s="208" t="str">
        <f t="shared" si="10"/>
        <v>договор</v>
      </c>
      <c r="C158" s="88"/>
      <c r="D158" s="293">
        <f>'патриотика0,3643'!D202</f>
        <v>0</v>
      </c>
      <c r="E158" s="293">
        <f>'патриотика0,3643'!E202</f>
        <v>20000</v>
      </c>
      <c r="F158" s="295">
        <f t="shared" si="11"/>
        <v>0</v>
      </c>
    </row>
    <row r="159" spans="1:7" x14ac:dyDescent="0.25">
      <c r="A159" s="385" t="str">
        <f>'патриотика0,3643'!A203</f>
        <v>Возмещение мед осмотра (112/212)</v>
      </c>
      <c r="B159" s="208" t="str">
        <f t="shared" si="10"/>
        <v>договор</v>
      </c>
      <c r="C159" s="88"/>
      <c r="D159" s="293">
        <f>'патриотика0,3643'!D203</f>
        <v>1.0929</v>
      </c>
      <c r="E159" s="293">
        <f>'патриотика0,3643'!E203</f>
        <v>1114</v>
      </c>
      <c r="F159" s="295">
        <f t="shared" si="11"/>
        <v>1217.4906000000001</v>
      </c>
    </row>
    <row r="160" spans="1:7" x14ac:dyDescent="0.25">
      <c r="A160" s="385" t="str">
        <f>'патриотика0,3643'!A204</f>
        <v>Услуги СЕМИС подписка</v>
      </c>
      <c r="B160" s="208" t="str">
        <f t="shared" si="10"/>
        <v>договор</v>
      </c>
      <c r="C160" s="88"/>
      <c r="D160" s="293">
        <f>'патриотика0,3643'!D204</f>
        <v>0.36430000000000001</v>
      </c>
      <c r="E160" s="293">
        <f>'патриотика0,3643'!E204</f>
        <v>1670</v>
      </c>
      <c r="F160" s="295">
        <f t="shared" si="11"/>
        <v>608.38099999999997</v>
      </c>
    </row>
    <row r="161" spans="1:6" x14ac:dyDescent="0.25">
      <c r="A161" s="385" t="str">
        <f>'патриотика0,3643'!A205</f>
        <v>Предрейсовое медицинское обследование 200дней*85руб</v>
      </c>
      <c r="B161" s="208" t="str">
        <f t="shared" si="10"/>
        <v>договор</v>
      </c>
      <c r="C161" s="242"/>
      <c r="D161" s="293">
        <f>'патриотика0,3643'!D205</f>
        <v>89.982100000000003</v>
      </c>
      <c r="E161" s="293">
        <f>'патриотика0,3643'!E205</f>
        <v>0</v>
      </c>
      <c r="F161" s="295">
        <f t="shared" si="11"/>
        <v>0</v>
      </c>
    </row>
    <row r="162" spans="1:6" x14ac:dyDescent="0.25">
      <c r="A162" s="385" t="str">
        <f>'патриотика0,3643'!A206</f>
        <v xml:space="preserve">Услуги охраны  </v>
      </c>
      <c r="B162" s="208" t="str">
        <f t="shared" si="10"/>
        <v>договор</v>
      </c>
      <c r="C162" s="88"/>
      <c r="D162" s="293">
        <f>'патриотика0,3643'!D206</f>
        <v>4.3715999999999999</v>
      </c>
      <c r="E162" s="293">
        <f>'патриотика0,3643'!E206</f>
        <v>8000</v>
      </c>
      <c r="F162" s="295">
        <f t="shared" si="11"/>
        <v>34972.800000000003</v>
      </c>
    </row>
    <row r="163" spans="1:6" x14ac:dyDescent="0.25">
      <c r="A163" s="385" t="str">
        <f>'патриотика0,3643'!A207</f>
        <v>Услуги мониторинга пожарной сигнализации</v>
      </c>
      <c r="B163" s="208" t="str">
        <f t="shared" si="10"/>
        <v>договор</v>
      </c>
      <c r="C163" s="88"/>
      <c r="D163" s="293">
        <f>'патриотика0,3643'!D207</f>
        <v>4.3715999999999999</v>
      </c>
      <c r="E163" s="293">
        <f>'патриотика0,3643'!E207</f>
        <v>2000</v>
      </c>
      <c r="F163" s="295">
        <f t="shared" si="11"/>
        <v>8743.2000000000007</v>
      </c>
    </row>
    <row r="164" spans="1:6" ht="30" x14ac:dyDescent="0.25">
      <c r="A164" s="385" t="str">
        <f>'патриотика0,3643'!A208</f>
        <v>Обслуживание систем охранных средств сигнализации (тревожная кнопка)</v>
      </c>
      <c r="B164" s="208" t="str">
        <f t="shared" si="10"/>
        <v>договор</v>
      </c>
      <c r="C164" s="88"/>
      <c r="D164" s="293">
        <f>'патриотика0,3643'!D208</f>
        <v>4.3715999999999999</v>
      </c>
      <c r="E164" s="293">
        <f>'патриотика0,3643'!E208</f>
        <v>5000</v>
      </c>
      <c r="F164" s="295">
        <f t="shared" si="11"/>
        <v>21858</v>
      </c>
    </row>
    <row r="165" spans="1:6" x14ac:dyDescent="0.25">
      <c r="A165" s="385" t="str">
        <f>'патриотика0,3643'!A209</f>
        <v>Договор на медосмотр при устройстве на работу</v>
      </c>
      <c r="B165" s="208" t="str">
        <f t="shared" si="10"/>
        <v>договор</v>
      </c>
      <c r="C165" s="88"/>
      <c r="D165" s="293">
        <f>'патриотика0,3643'!D209</f>
        <v>1.4572000000000001</v>
      </c>
      <c r="E165" s="293">
        <f>'патриотика0,3643'!E209</f>
        <v>0</v>
      </c>
      <c r="F165" s="295">
        <f t="shared" si="11"/>
        <v>0</v>
      </c>
    </row>
    <row r="166" spans="1:6" x14ac:dyDescent="0.25">
      <c r="A166" s="385" t="str">
        <f>'патриотика0,3643'!A210</f>
        <v>Страховая премия по полису ОСАГО за УАЗ</v>
      </c>
      <c r="B166" s="208" t="str">
        <f t="shared" si="10"/>
        <v>договор</v>
      </c>
      <c r="C166" s="88"/>
      <c r="D166" s="293">
        <f>'патриотика0,3643'!D210</f>
        <v>0.36430000000000001</v>
      </c>
      <c r="E166" s="293">
        <f>'патриотика0,3643'!E210</f>
        <v>0</v>
      </c>
      <c r="F166" s="295">
        <f t="shared" si="11"/>
        <v>0</v>
      </c>
    </row>
    <row r="167" spans="1:6" x14ac:dyDescent="0.25">
      <c r="A167" s="385" t="str">
        <f>'патриотика0,3643'!A211</f>
        <v>Приобретение программного обеспечения</v>
      </c>
      <c r="B167" s="208" t="str">
        <f t="shared" si="10"/>
        <v>договор</v>
      </c>
      <c r="C167" s="243"/>
      <c r="D167" s="293">
        <f>'патриотика0,3643'!D211</f>
        <v>0.36430000000000001</v>
      </c>
      <c r="E167" s="293">
        <f>'патриотика0,3643'!E211</f>
        <v>8088</v>
      </c>
      <c r="F167" s="295">
        <f t="shared" si="11"/>
        <v>2946.4584</v>
      </c>
    </row>
    <row r="168" spans="1:6" x14ac:dyDescent="0.25">
      <c r="A168" s="385" t="str">
        <f>'патриотика0,3643'!A212</f>
        <v>Оплата пени, штрафов (853/291)</v>
      </c>
      <c r="B168" s="208" t="str">
        <f t="shared" si="10"/>
        <v>договор</v>
      </c>
      <c r="C168" s="243"/>
      <c r="D168" s="293">
        <f>'патриотика0,3643'!D212</f>
        <v>1.8215000000000001</v>
      </c>
      <c r="E168" s="293">
        <f>'патриотика0,3643'!E212</f>
        <v>0</v>
      </c>
      <c r="F168" s="295">
        <f t="shared" si="11"/>
        <v>0</v>
      </c>
    </row>
    <row r="169" spans="1:6" x14ac:dyDescent="0.25">
      <c r="A169" s="616" t="s">
        <v>23</v>
      </c>
      <c r="B169" s="617"/>
      <c r="C169" s="617"/>
      <c r="D169" s="617"/>
      <c r="E169" s="618"/>
      <c r="F169" s="475">
        <f>SUM(F152:F168)</f>
        <v>145756.43</v>
      </c>
    </row>
    <row r="170" spans="1:6" x14ac:dyDescent="0.25">
      <c r="A170" s="619" t="s">
        <v>29</v>
      </c>
      <c r="B170" s="620"/>
      <c r="C170" s="620"/>
      <c r="D170" s="620"/>
      <c r="E170" s="620"/>
      <c r="F170" s="621"/>
    </row>
    <row r="171" spans="1:6" x14ac:dyDescent="0.25">
      <c r="A171" s="364">
        <f>D148</f>
        <v>0.36430000000000001</v>
      </c>
      <c r="B171" s="365"/>
      <c r="C171" s="365"/>
      <c r="D171" s="365"/>
      <c r="E171" s="365"/>
      <c r="F171" s="366"/>
    </row>
    <row r="172" spans="1:6" x14ac:dyDescent="0.25">
      <c r="A172" s="622" t="s">
        <v>30</v>
      </c>
      <c r="B172" s="622" t="s">
        <v>11</v>
      </c>
      <c r="C172" s="303"/>
      <c r="D172" s="622" t="s">
        <v>14</v>
      </c>
      <c r="E172" s="622" t="s">
        <v>15</v>
      </c>
      <c r="F172" s="622" t="s">
        <v>6</v>
      </c>
    </row>
    <row r="173" spans="1:6" x14ac:dyDescent="0.25">
      <c r="A173" s="622"/>
      <c r="B173" s="622"/>
      <c r="C173" s="303"/>
      <c r="D173" s="622"/>
      <c r="E173" s="622"/>
      <c r="F173" s="622"/>
    </row>
    <row r="174" spans="1:6" x14ac:dyDescent="0.25">
      <c r="A174" s="303">
        <v>1</v>
      </c>
      <c r="B174" s="303">
        <v>2</v>
      </c>
      <c r="C174" s="303"/>
      <c r="D174" s="303">
        <v>3</v>
      </c>
      <c r="E174" s="303">
        <v>4</v>
      </c>
      <c r="F174" s="303" t="s">
        <v>109</v>
      </c>
    </row>
    <row r="175" spans="1:6" x14ac:dyDescent="0.25">
      <c r="A175" s="428" t="str">
        <f>'патриотика0,3643'!A220</f>
        <v>Обучение персонала</v>
      </c>
      <c r="B175" s="303" t="s">
        <v>22</v>
      </c>
      <c r="C175" s="303"/>
      <c r="D175" s="303">
        <f>'патриотика0,3643'!D220</f>
        <v>0.36430000000000001</v>
      </c>
      <c r="E175" s="303">
        <f>'патриотика0,3643'!E220</f>
        <v>8000</v>
      </c>
      <c r="F175" s="202">
        <f t="shared" ref="F175:F209" si="12">D175*E175</f>
        <v>2914.4</v>
      </c>
    </row>
    <row r="176" spans="1:6" ht="15.75" x14ac:dyDescent="0.25">
      <c r="A176" s="372" t="str">
        <f>'патриотика0,3643'!A221</f>
        <v>Блок фотобарабана</v>
      </c>
      <c r="B176" s="203" t="s">
        <v>84</v>
      </c>
      <c r="C176" s="303"/>
      <c r="D176" s="149">
        <f>'патриотика0,3643'!D221</f>
        <v>0.72860000000000003</v>
      </c>
      <c r="E176" s="354">
        <f>'патриотика0,3643'!E221</f>
        <v>5600</v>
      </c>
      <c r="F176" s="202">
        <f t="shared" si="12"/>
        <v>4080.1600000000003</v>
      </c>
    </row>
    <row r="177" spans="1:6" ht="15.75" x14ac:dyDescent="0.25">
      <c r="A177" s="372" t="str">
        <f>'патриотика0,3643'!A222</f>
        <v>Чкрнила для принтера</v>
      </c>
      <c r="B177" s="203" t="s">
        <v>84</v>
      </c>
      <c r="C177" s="303"/>
      <c r="D177" s="149">
        <f>'патриотика0,3643'!D222</f>
        <v>2.9144000000000001</v>
      </c>
      <c r="E177" s="354">
        <f>'патриотика0,3643'!E222</f>
        <v>4400</v>
      </c>
      <c r="F177" s="202">
        <f t="shared" si="12"/>
        <v>12823.36</v>
      </c>
    </row>
    <row r="178" spans="1:6" ht="15.75" x14ac:dyDescent="0.25">
      <c r="A178" s="372" t="str">
        <f>'патриотика0,3643'!A223</f>
        <v>картридж</v>
      </c>
      <c r="B178" s="203" t="s">
        <v>84</v>
      </c>
      <c r="C178" s="303"/>
      <c r="D178" s="149">
        <f>'патриотика0,3643'!D223</f>
        <v>1.4572000000000001</v>
      </c>
      <c r="E178" s="354">
        <f>'патриотика0,3643'!E223</f>
        <v>3200</v>
      </c>
      <c r="F178" s="202">
        <f t="shared" si="12"/>
        <v>4663.04</v>
      </c>
    </row>
    <row r="179" spans="1:6" ht="15.75" x14ac:dyDescent="0.25">
      <c r="A179" s="372" t="str">
        <f>'патриотика0,3643'!A224</f>
        <v>Комплектующие для настольных игр</v>
      </c>
      <c r="B179" s="203" t="s">
        <v>84</v>
      </c>
      <c r="C179" s="303"/>
      <c r="D179" s="149">
        <f>'патриотика0,3643'!D224</f>
        <v>12.0219</v>
      </c>
      <c r="E179" s="354">
        <f>'патриотика0,3643'!E224</f>
        <v>941.97</v>
      </c>
      <c r="F179" s="202">
        <f t="shared" si="12"/>
        <v>11324.269143000001</v>
      </c>
    </row>
    <row r="180" spans="1:6" ht="15.75" x14ac:dyDescent="0.25">
      <c r="A180" s="372" t="str">
        <f>'патриотика0,3643'!A225</f>
        <v>Настольные игры</v>
      </c>
      <c r="B180" s="203" t="s">
        <v>84</v>
      </c>
      <c r="C180" s="303"/>
      <c r="D180" s="149">
        <f>'патриотика0,3643'!D225</f>
        <v>3.6430000000000002</v>
      </c>
      <c r="E180" s="354">
        <f>'патриотика0,3643'!E225</f>
        <v>1357</v>
      </c>
      <c r="F180" s="202">
        <f t="shared" si="12"/>
        <v>4943.5510000000004</v>
      </c>
    </row>
    <row r="181" spans="1:6" ht="15.75" x14ac:dyDescent="0.25">
      <c r="A181" s="372" t="str">
        <f>'патриотика0,3643'!A226</f>
        <v xml:space="preserve">Батарейка </v>
      </c>
      <c r="B181" s="203" t="s">
        <v>84</v>
      </c>
      <c r="C181" s="303"/>
      <c r="D181" s="149">
        <f>'патриотика0,3643'!D226</f>
        <v>3.2787000000000002</v>
      </c>
      <c r="E181" s="354">
        <f>'патриотика0,3643'!E226</f>
        <v>408.98</v>
      </c>
      <c r="F181" s="202">
        <f t="shared" si="12"/>
        <v>1340.9227260000002</v>
      </c>
    </row>
    <row r="182" spans="1:6" ht="15.75" x14ac:dyDescent="0.25">
      <c r="A182" s="372" t="str">
        <f>'патриотика0,3643'!A227</f>
        <v>блок для записей</v>
      </c>
      <c r="B182" s="203" t="s">
        <v>84</v>
      </c>
      <c r="C182" s="303"/>
      <c r="D182" s="149">
        <f>'патриотика0,3643'!D227</f>
        <v>1.0929</v>
      </c>
      <c r="E182" s="354">
        <f>'патриотика0,3643'!E227</f>
        <v>153.13</v>
      </c>
      <c r="F182" s="202">
        <f t="shared" si="12"/>
        <v>167.35577699999999</v>
      </c>
    </row>
    <row r="183" spans="1:6" ht="15.75" x14ac:dyDescent="0.25">
      <c r="A183" s="372" t="str">
        <f>'патриотика0,3643'!A228</f>
        <v>бумага туал</v>
      </c>
      <c r="B183" s="203" t="s">
        <v>84</v>
      </c>
      <c r="C183" s="303"/>
      <c r="D183" s="149">
        <f>'патриотика0,3643'!D228</f>
        <v>34.972799999999999</v>
      </c>
      <c r="E183" s="354">
        <f>'патриотика0,3643'!E228</f>
        <v>26.54</v>
      </c>
      <c r="F183" s="202">
        <f t="shared" si="12"/>
        <v>928.17811199999994</v>
      </c>
    </row>
    <row r="184" spans="1:6" ht="15.75" x14ac:dyDescent="0.25">
      <c r="A184" s="372" t="str">
        <f>'патриотика0,3643'!A229</f>
        <v>губка-ластик</v>
      </c>
      <c r="B184" s="203" t="s">
        <v>84</v>
      </c>
      <c r="C184" s="303"/>
      <c r="D184" s="149">
        <f>'патриотика0,3643'!D229</f>
        <v>0.72860000000000003</v>
      </c>
      <c r="E184" s="354">
        <f>'патриотика0,3643'!E229</f>
        <v>80.36</v>
      </c>
      <c r="F184" s="202">
        <f t="shared" si="12"/>
        <v>58.550296000000003</v>
      </c>
    </row>
    <row r="185" spans="1:6" ht="15.75" x14ac:dyDescent="0.25">
      <c r="A185" s="372" t="str">
        <f>'патриотика0,3643'!A230</f>
        <v>доска-планшет</v>
      </c>
      <c r="B185" s="203" t="s">
        <v>84</v>
      </c>
      <c r="C185" s="303"/>
      <c r="D185" s="149">
        <f>'патриотика0,3643'!D230</f>
        <v>7.2860000000000005</v>
      </c>
      <c r="E185" s="354">
        <f>'патриотика0,3643'!E230</f>
        <v>121.75</v>
      </c>
      <c r="F185" s="202">
        <f t="shared" si="12"/>
        <v>887.07050000000004</v>
      </c>
    </row>
    <row r="186" spans="1:6" ht="15.75" x14ac:dyDescent="0.25">
      <c r="A186" s="372" t="str">
        <f>'патриотика0,3643'!A231</f>
        <v>закладки</v>
      </c>
      <c r="B186" s="203" t="s">
        <v>84</v>
      </c>
      <c r="C186" s="303"/>
      <c r="D186" s="149">
        <f>'патриотика0,3643'!D231</f>
        <v>0.72860000000000003</v>
      </c>
      <c r="E186" s="354">
        <f>'патриотика0,3643'!E231</f>
        <v>109.39</v>
      </c>
      <c r="F186" s="202">
        <f t="shared" si="12"/>
        <v>79.701554000000002</v>
      </c>
    </row>
    <row r="187" spans="1:6" ht="15.75" x14ac:dyDescent="0.25">
      <c r="A187" s="372" t="str">
        <f>'патриотика0,3643'!A232</f>
        <v>карандаш</v>
      </c>
      <c r="B187" s="203" t="s">
        <v>84</v>
      </c>
      <c r="C187" s="303"/>
      <c r="D187" s="149">
        <f>'патриотика0,3643'!D232</f>
        <v>36.43</v>
      </c>
      <c r="E187" s="354">
        <f>'патриотика0,3643'!E232</f>
        <v>11.44</v>
      </c>
      <c r="F187" s="202">
        <f t="shared" si="12"/>
        <v>416.75919999999996</v>
      </c>
    </row>
    <row r="188" spans="1:6" ht="15.75" x14ac:dyDescent="0.25">
      <c r="A188" s="372" t="str">
        <f>'патриотика0,3643'!A233</f>
        <v>клей</v>
      </c>
      <c r="B188" s="203" t="s">
        <v>84</v>
      </c>
      <c r="C188" s="303"/>
      <c r="D188" s="149">
        <f>'патриотика0,3643'!D233</f>
        <v>20.4008</v>
      </c>
      <c r="E188" s="354">
        <f>'патриотика0,3643'!E233</f>
        <v>92.63</v>
      </c>
      <c r="F188" s="202">
        <f t="shared" si="12"/>
        <v>1889.7261039999999</v>
      </c>
    </row>
    <row r="189" spans="1:6" ht="15.75" x14ac:dyDescent="0.25">
      <c r="A189" s="372" t="str">
        <f>'патриотика0,3643'!A234</f>
        <v>книга отзывов</v>
      </c>
      <c r="B189" s="203" t="s">
        <v>84</v>
      </c>
      <c r="C189" s="303"/>
      <c r="D189" s="149">
        <f>'патриотика0,3643'!D234</f>
        <v>0.72860000000000003</v>
      </c>
      <c r="E189" s="354">
        <f>'патриотика0,3643'!E234</f>
        <v>113.92</v>
      </c>
      <c r="F189" s="202">
        <f t="shared" si="12"/>
        <v>83.002112000000011</v>
      </c>
    </row>
    <row r="190" spans="1:6" ht="15.75" x14ac:dyDescent="0.25">
      <c r="A190" s="372" t="str">
        <f>'патриотика0,3643'!A235</f>
        <v>лампа светодиод</v>
      </c>
      <c r="B190" s="203" t="s">
        <v>84</v>
      </c>
      <c r="C190" s="303"/>
      <c r="D190" s="149">
        <f>'патриотика0,3643'!D235</f>
        <v>3.6430000000000002</v>
      </c>
      <c r="E190" s="354">
        <f>'патриотика0,3643'!E235</f>
        <v>75.11</v>
      </c>
      <c r="F190" s="202">
        <f t="shared" si="12"/>
        <v>273.62573000000003</v>
      </c>
    </row>
    <row r="191" spans="1:6" ht="15.75" x14ac:dyDescent="0.25">
      <c r="A191" s="372" t="str">
        <f>'патриотика0,3643'!A236</f>
        <v>кнопки</v>
      </c>
      <c r="B191" s="203" t="s">
        <v>84</v>
      </c>
      <c r="C191" s="303"/>
      <c r="D191" s="149">
        <f>'патриотика0,3643'!D236</f>
        <v>3.6430000000000002</v>
      </c>
      <c r="E191" s="354">
        <f>'патриотика0,3643'!E236</f>
        <v>55.881999999999998</v>
      </c>
      <c r="F191" s="202">
        <f t="shared" si="12"/>
        <v>203.578126</v>
      </c>
    </row>
    <row r="192" spans="1:6" ht="15.75" x14ac:dyDescent="0.25">
      <c r="A192" s="372" t="str">
        <f>'патриотика0,3643'!A237</f>
        <v>магниты, маркеры</v>
      </c>
      <c r="B192" s="203" t="s">
        <v>84</v>
      </c>
      <c r="C192" s="303"/>
      <c r="D192" s="149">
        <f>'патриотика0,3643'!D237</f>
        <v>17.8507</v>
      </c>
      <c r="E192" s="354">
        <f>'патриотика0,3643'!E237</f>
        <v>101.88</v>
      </c>
      <c r="F192" s="202">
        <f t="shared" si="12"/>
        <v>1818.6293159999998</v>
      </c>
    </row>
    <row r="193" spans="1:6" ht="15.75" x14ac:dyDescent="0.25">
      <c r="A193" s="372" t="str">
        <f>'патриотика0,3643'!A238</f>
        <v>мешки мусор</v>
      </c>
      <c r="B193" s="203" t="s">
        <v>84</v>
      </c>
      <c r="C193" s="303"/>
      <c r="D193" s="149">
        <f>'патриотика0,3643'!D238</f>
        <v>17.1221</v>
      </c>
      <c r="E193" s="354">
        <f>'патриотика0,3643'!E238</f>
        <v>170.27</v>
      </c>
      <c r="F193" s="202">
        <f t="shared" si="12"/>
        <v>2915.3799670000003</v>
      </c>
    </row>
    <row r="194" spans="1:6" ht="15.75" x14ac:dyDescent="0.25">
      <c r="A194" s="372" t="str">
        <f>'патриотика0,3643'!A239</f>
        <v>мыло крем</v>
      </c>
      <c r="B194" s="203" t="s">
        <v>84</v>
      </c>
      <c r="C194" s="303"/>
      <c r="D194" s="149">
        <f>'патриотика0,3643'!D239</f>
        <v>0.36430000000000001</v>
      </c>
      <c r="E194" s="354">
        <f>'патриотика0,3643'!E239</f>
        <v>726.43</v>
      </c>
      <c r="F194" s="202">
        <f t="shared" si="12"/>
        <v>264.63844899999998</v>
      </c>
    </row>
    <row r="195" spans="1:6" ht="15.75" x14ac:dyDescent="0.25">
      <c r="A195" s="372" t="str">
        <f>'патриотика0,3643'!A240</f>
        <v>текстовыделитель, нож макет</v>
      </c>
      <c r="B195" s="203" t="s">
        <v>84</v>
      </c>
      <c r="C195" s="303"/>
      <c r="D195" s="149">
        <f>'патриотика0,3643'!D240</f>
        <v>1.8215000000000001</v>
      </c>
      <c r="E195" s="354">
        <f>'патриотика0,3643'!E240</f>
        <v>246.92</v>
      </c>
      <c r="F195" s="202">
        <f t="shared" si="12"/>
        <v>449.76478000000003</v>
      </c>
    </row>
    <row r="196" spans="1:6" ht="15.75" x14ac:dyDescent="0.25">
      <c r="A196" s="372" t="str">
        <f>'патриотика0,3643'!A241</f>
        <v>освежитель</v>
      </c>
      <c r="B196" s="203" t="s">
        <v>84</v>
      </c>
      <c r="C196" s="303"/>
      <c r="D196" s="149">
        <f>'патриотика0,3643'!D241</f>
        <v>5.4645000000000001</v>
      </c>
      <c r="E196" s="354">
        <f>'патриотика0,3643'!E241</f>
        <v>98.47</v>
      </c>
      <c r="F196" s="202">
        <f t="shared" si="12"/>
        <v>538.08931500000006</v>
      </c>
    </row>
    <row r="197" spans="1:6" ht="15.75" x14ac:dyDescent="0.25">
      <c r="A197" s="372" t="str">
        <f>'патриотика0,3643'!A242</f>
        <v>папка</v>
      </c>
      <c r="B197" s="203" t="s">
        <v>84</v>
      </c>
      <c r="C197" s="303"/>
      <c r="D197" s="149">
        <f>'патриотика0,3643'!D242</f>
        <v>38.9801</v>
      </c>
      <c r="E197" s="354">
        <f>'патриотика0,3643'!E242</f>
        <v>23.05</v>
      </c>
      <c r="F197" s="202">
        <f t="shared" si="12"/>
        <v>898.49130500000001</v>
      </c>
    </row>
    <row r="198" spans="1:6" ht="15.75" x14ac:dyDescent="0.25">
      <c r="A198" s="372" t="str">
        <f>'патриотика0,3643'!A243</f>
        <v>перчатки, полотенца, салфетки</v>
      </c>
      <c r="B198" s="203" t="s">
        <v>84</v>
      </c>
      <c r="C198" s="303"/>
      <c r="D198" s="149">
        <f>'патриотика0,3643'!D243</f>
        <v>18.215</v>
      </c>
      <c r="E198" s="354">
        <f>'патриотика0,3643'!E243</f>
        <v>378.48</v>
      </c>
      <c r="F198" s="202">
        <f t="shared" si="12"/>
        <v>6894.0132000000003</v>
      </c>
    </row>
    <row r="199" spans="1:6" ht="15.75" x14ac:dyDescent="0.25">
      <c r="A199" s="372" t="str">
        <f>'патриотика0,3643'!A244</f>
        <v>свечи</v>
      </c>
      <c r="B199" s="203" t="s">
        <v>84</v>
      </c>
      <c r="C199" s="303"/>
      <c r="D199" s="149">
        <f>'патриотика0,3643'!D244</f>
        <v>0.72860000000000003</v>
      </c>
      <c r="E199" s="354">
        <f>'патриотика0,3643'!E244</f>
        <v>142.08000000000001</v>
      </c>
      <c r="F199" s="202">
        <f t="shared" si="12"/>
        <v>103.51948800000001</v>
      </c>
    </row>
    <row r="200" spans="1:6" ht="15.75" x14ac:dyDescent="0.25">
      <c r="A200" s="372" t="str">
        <f>'патриотика0,3643'!A245</f>
        <v>кнопки, скобы</v>
      </c>
      <c r="B200" s="203" t="s">
        <v>84</v>
      </c>
      <c r="C200" s="303"/>
      <c r="D200" s="149">
        <f>'патриотика0,3643'!D245</f>
        <v>69.216999999999999</v>
      </c>
      <c r="E200" s="354">
        <f>'патриотика0,3643'!E245</f>
        <v>27.88</v>
      </c>
      <c r="F200" s="202">
        <f t="shared" si="12"/>
        <v>1929.7699599999999</v>
      </c>
    </row>
    <row r="201" spans="1:6" ht="15.75" x14ac:dyDescent="0.25">
      <c r="A201" s="372" t="str">
        <f>'патриотика0,3643'!A246</f>
        <v>моющие ср-ва</v>
      </c>
      <c r="B201" s="203" t="s">
        <v>84</v>
      </c>
      <c r="C201" s="303"/>
      <c r="D201" s="149">
        <f>'патриотика0,3643'!D246</f>
        <v>0.72860000000000003</v>
      </c>
      <c r="E201" s="354">
        <f>'патриотика0,3643'!E246</f>
        <v>740.15499999999997</v>
      </c>
      <c r="F201" s="202">
        <f t="shared" si="12"/>
        <v>539.27693299999999</v>
      </c>
    </row>
    <row r="202" spans="1:6" ht="15.75" x14ac:dyDescent="0.25">
      <c r="A202" s="372" t="str">
        <f>'патриотика0,3643'!A247</f>
        <v>хомуты</v>
      </c>
      <c r="B202" s="203" t="s">
        <v>84</v>
      </c>
      <c r="C202" s="303"/>
      <c r="D202" s="149">
        <f>'патриотика0,3643'!D247</f>
        <v>1.8215000000000001</v>
      </c>
      <c r="E202" s="354">
        <f>'патриотика0,3643'!E247</f>
        <v>105.684</v>
      </c>
      <c r="F202" s="202">
        <f t="shared" si="12"/>
        <v>192.50340600000001</v>
      </c>
    </row>
    <row r="203" spans="1:6" ht="15.75" x14ac:dyDescent="0.25">
      <c r="A203" s="372" t="str">
        <f>'патриотика0,3643'!A248</f>
        <v>чистящие ср-ва</v>
      </c>
      <c r="B203" s="203" t="s">
        <v>84</v>
      </c>
      <c r="C203" s="303"/>
      <c r="D203" s="149">
        <f>'патриотика0,3643'!D248</f>
        <v>3.6430000000000002</v>
      </c>
      <c r="E203" s="354">
        <f>'патриотика0,3643'!E248</f>
        <v>265.80500000000001</v>
      </c>
      <c r="F203" s="202">
        <f t="shared" si="12"/>
        <v>968.32761500000004</v>
      </c>
    </row>
    <row r="204" spans="1:6" ht="15.75" x14ac:dyDescent="0.25">
      <c r="A204" s="372" t="str">
        <f>'патриотика0,3643'!A249</f>
        <v>шпагат</v>
      </c>
      <c r="B204" s="203" t="s">
        <v>84</v>
      </c>
      <c r="C204" s="303"/>
      <c r="D204" s="149">
        <f>'патриотика0,3643'!D249</f>
        <v>0.72860000000000003</v>
      </c>
      <c r="E204" s="354">
        <f>'патриотика0,3643'!E249</f>
        <v>448.15499999999997</v>
      </c>
      <c r="F204" s="202">
        <f t="shared" si="12"/>
        <v>326.525733</v>
      </c>
    </row>
    <row r="205" spans="1:6" ht="15.75" x14ac:dyDescent="0.25">
      <c r="A205" s="372" t="str">
        <f>'патриотика0,3643'!A250</f>
        <v>Флаг парус 3650*815</v>
      </c>
      <c r="B205" s="203" t="s">
        <v>84</v>
      </c>
      <c r="C205" s="303"/>
      <c r="D205" s="149">
        <f>'патриотика0,3643'!D250</f>
        <v>2.9144000000000001</v>
      </c>
      <c r="E205" s="354">
        <f>'патриотика0,3643'!E250</f>
        <v>6500</v>
      </c>
      <c r="F205" s="202">
        <f t="shared" si="12"/>
        <v>18943.600000000002</v>
      </c>
    </row>
    <row r="206" spans="1:6" ht="15.75" x14ac:dyDescent="0.25">
      <c r="A206" s="372" t="str">
        <f>'патриотика0,3643'!A251</f>
        <v>Сумка кофр</v>
      </c>
      <c r="B206" s="203" t="s">
        <v>84</v>
      </c>
      <c r="C206" s="303"/>
      <c r="D206" s="149">
        <f>'патриотика0,3643'!D251</f>
        <v>2.1858</v>
      </c>
      <c r="E206" s="354">
        <f>'патриотика0,3643'!E251</f>
        <v>2500</v>
      </c>
      <c r="F206" s="202">
        <f t="shared" si="12"/>
        <v>5464.5</v>
      </c>
    </row>
    <row r="207" spans="1:6" ht="15.75" x14ac:dyDescent="0.25">
      <c r="A207" s="372" t="str">
        <f>'патриотика0,3643'!A252</f>
        <v>мачта разборная</v>
      </c>
      <c r="B207" s="203" t="s">
        <v>84</v>
      </c>
      <c r="C207" s="303"/>
      <c r="D207" s="149">
        <f>'патриотика0,3643'!D252</f>
        <v>2.1858</v>
      </c>
      <c r="E207" s="354">
        <f>'патриотика0,3643'!E252</f>
        <v>2500</v>
      </c>
      <c r="F207" s="202">
        <f t="shared" si="12"/>
        <v>5464.5</v>
      </c>
    </row>
    <row r="208" spans="1:6" ht="15.75" x14ac:dyDescent="0.25">
      <c r="A208" s="372" t="str">
        <f>'патриотика0,3643'!A253</f>
        <v>наливное пластиковое основание</v>
      </c>
      <c r="B208" s="203" t="s">
        <v>84</v>
      </c>
      <c r="C208" s="303"/>
      <c r="D208" s="149">
        <f>'патриотика0,3643'!D253</f>
        <v>2.1858</v>
      </c>
      <c r="E208" s="354">
        <f>'патриотика0,3643'!E253</f>
        <v>5500</v>
      </c>
      <c r="F208" s="202">
        <f t="shared" si="12"/>
        <v>12021.9</v>
      </c>
    </row>
    <row r="209" spans="1:7" ht="15.75" x14ac:dyDescent="0.25">
      <c r="A209" s="372" t="str">
        <f>'патриотика0,3643'!A254</f>
        <v>Бумага А4</v>
      </c>
      <c r="B209" s="203" t="s">
        <v>84</v>
      </c>
      <c r="C209" s="303"/>
      <c r="D209" s="149">
        <f>'патриотика0,3643'!D254</f>
        <v>14.572000000000001</v>
      </c>
      <c r="E209" s="354">
        <f>'патриотика0,3643'!E254</f>
        <v>350</v>
      </c>
      <c r="F209" s="202">
        <f t="shared" si="12"/>
        <v>5100.2000000000007</v>
      </c>
    </row>
    <row r="210" spans="1:7" ht="15.75" x14ac:dyDescent="0.25">
      <c r="A210" s="372" t="str">
        <f>'патриотика0,3643'!A255</f>
        <v>Бумага Ксерокс</v>
      </c>
      <c r="B210" s="203" t="s">
        <v>84</v>
      </c>
      <c r="C210" s="200"/>
      <c r="D210" s="149">
        <f>'патриотика0,3643'!D255</f>
        <v>3.6430000000000002</v>
      </c>
      <c r="E210" s="354">
        <f>'патриотика0,3643'!E255</f>
        <v>850</v>
      </c>
      <c r="F210" s="202">
        <f>D210*E210</f>
        <v>3096.55</v>
      </c>
      <c r="G210" s="373"/>
    </row>
    <row r="211" spans="1:7" ht="15.75" x14ac:dyDescent="0.25">
      <c r="A211" s="372" t="str">
        <f>'патриотика0,3643'!A256</f>
        <v>Холст кактус</v>
      </c>
      <c r="B211" s="203" t="s">
        <v>84</v>
      </c>
      <c r="C211" s="200"/>
      <c r="D211" s="149">
        <f>'патриотика0,3643'!D256</f>
        <v>0.72860000000000003</v>
      </c>
      <c r="E211" s="354">
        <f>'патриотика0,3643'!E256</f>
        <v>7500</v>
      </c>
      <c r="F211" s="202">
        <f>D211*E211</f>
        <v>5464.5</v>
      </c>
      <c r="G211" s="373"/>
    </row>
    <row r="212" spans="1:7" ht="15" customHeight="1" x14ac:dyDescent="0.25">
      <c r="A212" s="372" t="str">
        <f>'патриотика0,3643'!A257</f>
        <v>Пленка для ламинирования</v>
      </c>
      <c r="B212" s="203" t="s">
        <v>84</v>
      </c>
      <c r="C212" s="200"/>
      <c r="D212" s="149">
        <f>'патриотика0,3643'!D257</f>
        <v>1.8215000000000001</v>
      </c>
      <c r="E212" s="354">
        <f>'патриотика0,3643'!E257</f>
        <v>800</v>
      </c>
      <c r="F212" s="202">
        <f t="shared" ref="F212:F256" si="13">D212*E212</f>
        <v>1457.2</v>
      </c>
      <c r="G212" s="373"/>
    </row>
    <row r="213" spans="1:7" ht="15" customHeight="1" x14ac:dyDescent="0.25">
      <c r="A213" s="372" t="str">
        <f>'патриотика0,3643'!A258</f>
        <v>Ручка гель</v>
      </c>
      <c r="B213" s="203" t="s">
        <v>84</v>
      </c>
      <c r="C213" s="200"/>
      <c r="D213" s="149">
        <f>'патриотика0,3643'!D258</f>
        <v>7.2860000000000005</v>
      </c>
      <c r="E213" s="354">
        <f>'патриотика0,3643'!E258</f>
        <v>50</v>
      </c>
      <c r="F213" s="202">
        <f t="shared" si="13"/>
        <v>364.3</v>
      </c>
      <c r="G213" s="373"/>
    </row>
    <row r="214" spans="1:7" ht="15" customHeight="1" x14ac:dyDescent="0.25">
      <c r="A214" s="372" t="str">
        <f>'патриотика0,3643'!A259</f>
        <v>Ложка суповая</v>
      </c>
      <c r="B214" s="203" t="s">
        <v>84</v>
      </c>
      <c r="C214" s="200"/>
      <c r="D214" s="149">
        <f>'патриотика0,3643'!D259</f>
        <v>364.3</v>
      </c>
      <c r="E214" s="354">
        <f>'патриотика0,3643'!E259</f>
        <v>4</v>
      </c>
      <c r="F214" s="202">
        <f t="shared" si="13"/>
        <v>1457.2</v>
      </c>
      <c r="G214" s="373"/>
    </row>
    <row r="215" spans="1:7" ht="15.75" x14ac:dyDescent="0.25">
      <c r="A215" s="372" t="str">
        <f>'патриотика0,3643'!A260</f>
        <v>Тарелка суповая</v>
      </c>
      <c r="B215" s="203" t="s">
        <v>84</v>
      </c>
      <c r="C215" s="200"/>
      <c r="D215" s="149">
        <f>'патриотика0,3643'!D260</f>
        <v>364.3</v>
      </c>
      <c r="E215" s="354">
        <f>'патриотика0,3643'!E260</f>
        <v>5</v>
      </c>
      <c r="F215" s="202">
        <f t="shared" si="13"/>
        <v>1821.5</v>
      </c>
      <c r="G215" s="373"/>
    </row>
    <row r="216" spans="1:7" ht="15.75" x14ac:dyDescent="0.25">
      <c r="A216" s="372" t="str">
        <f>'патриотика0,3643'!A261</f>
        <v xml:space="preserve">Стакан однораз </v>
      </c>
      <c r="B216" s="203" t="s">
        <v>84</v>
      </c>
      <c r="C216" s="200"/>
      <c r="D216" s="149">
        <f>'патриотика0,3643'!D261</f>
        <v>728.6</v>
      </c>
      <c r="E216" s="354">
        <f>'патриотика0,3643'!E261</f>
        <v>2</v>
      </c>
      <c r="F216" s="202">
        <f t="shared" si="13"/>
        <v>1457.2</v>
      </c>
      <c r="G216" s="373"/>
    </row>
    <row r="217" spans="1:7" ht="15.75" x14ac:dyDescent="0.25">
      <c r="A217" s="372" t="str">
        <f>'патриотика0,3643'!A262</f>
        <v>Стакан однораз 250 мл</v>
      </c>
      <c r="B217" s="203" t="s">
        <v>84</v>
      </c>
      <c r="C217" s="200"/>
      <c r="D217" s="149">
        <f>'патриотика0,3643'!D262</f>
        <v>364.3</v>
      </c>
      <c r="E217" s="354">
        <f>'патриотика0,3643'!E262</f>
        <v>5.5</v>
      </c>
      <c r="F217" s="202">
        <f t="shared" si="13"/>
        <v>2003.65</v>
      </c>
      <c r="G217" s="373"/>
    </row>
    <row r="218" spans="1:7" ht="15.75" x14ac:dyDescent="0.25">
      <c r="A218" s="372" t="str">
        <f>'патриотика0,3643'!A263</f>
        <v>Бумага цветная</v>
      </c>
      <c r="B218" s="203" t="s">
        <v>84</v>
      </c>
      <c r="C218" s="200"/>
      <c r="D218" s="149">
        <f>'патриотика0,3643'!D263</f>
        <v>1.4572000000000001</v>
      </c>
      <c r="E218" s="354">
        <f>'патриотика0,3643'!E263</f>
        <v>550</v>
      </c>
      <c r="F218" s="202">
        <f t="shared" si="13"/>
        <v>801.46</v>
      </c>
      <c r="G218" s="373"/>
    </row>
    <row r="219" spans="1:7" ht="15" customHeight="1" x14ac:dyDescent="0.25">
      <c r="A219" s="372" t="str">
        <f>'патриотика0,3643'!A264</f>
        <v>Бумага писчая</v>
      </c>
      <c r="B219" s="203" t="s">
        <v>84</v>
      </c>
      <c r="C219" s="200"/>
      <c r="D219" s="149">
        <f>'патриотика0,3643'!D264</f>
        <v>1.8215000000000001</v>
      </c>
      <c r="E219" s="354">
        <f>'патриотика0,3643'!E264</f>
        <v>340</v>
      </c>
      <c r="F219" s="202">
        <f t="shared" si="13"/>
        <v>619.31000000000006</v>
      </c>
      <c r="G219" s="373"/>
    </row>
    <row r="220" spans="1:7" ht="15" customHeight="1" x14ac:dyDescent="0.25">
      <c r="A220" s="372" t="str">
        <f>'патриотика0,3643'!A265</f>
        <v>Фитолента</v>
      </c>
      <c r="B220" s="203" t="s">
        <v>84</v>
      </c>
      <c r="C220" s="200"/>
      <c r="D220" s="149">
        <f>'патриотика0,3643'!D265</f>
        <v>1.8215000000000001</v>
      </c>
      <c r="E220" s="354">
        <f>'патриотика0,3643'!E265</f>
        <v>1250</v>
      </c>
      <c r="F220" s="202">
        <f t="shared" si="13"/>
        <v>2276.875</v>
      </c>
      <c r="G220" s="373"/>
    </row>
    <row r="221" spans="1:7" ht="15" customHeight="1" x14ac:dyDescent="0.25">
      <c r="A221" s="372" t="str">
        <f>'патриотика0,3643'!A266</f>
        <v>грунт универсал</v>
      </c>
      <c r="B221" s="203" t="s">
        <v>84</v>
      </c>
      <c r="C221" s="200"/>
      <c r="D221" s="149">
        <f>'патриотика0,3643'!D266</f>
        <v>1.8215000000000001</v>
      </c>
      <c r="E221" s="354">
        <f>'патриотика0,3643'!E266</f>
        <v>700</v>
      </c>
      <c r="F221" s="202">
        <f t="shared" si="13"/>
        <v>1275.0500000000002</v>
      </c>
      <c r="G221" s="373"/>
    </row>
    <row r="222" spans="1:7" ht="15" customHeight="1" x14ac:dyDescent="0.25">
      <c r="A222" s="372" t="str">
        <f>'патриотика0,3643'!A267</f>
        <v>комплект рассадников</v>
      </c>
      <c r="B222" s="203" t="s">
        <v>84</v>
      </c>
      <c r="C222" s="200"/>
      <c r="D222" s="149">
        <f>'патриотика0,3643'!D267</f>
        <v>12.750500000000001</v>
      </c>
      <c r="E222" s="354">
        <f>'патриотика0,3643'!E267</f>
        <v>250</v>
      </c>
      <c r="F222" s="202">
        <f t="shared" si="13"/>
        <v>3187.625</v>
      </c>
      <c r="G222" s="373"/>
    </row>
    <row r="223" spans="1:7" ht="15" customHeight="1" x14ac:dyDescent="0.25">
      <c r="A223" s="372" t="str">
        <f>'патриотика0,3643'!A268</f>
        <v>семена цветов</v>
      </c>
      <c r="B223" s="203" t="s">
        <v>84</v>
      </c>
      <c r="C223" s="200"/>
      <c r="D223" s="149">
        <f>'патриотика0,3643'!D268</f>
        <v>21.858000000000001</v>
      </c>
      <c r="E223" s="354">
        <f>'патриотика0,3643'!E268</f>
        <v>35</v>
      </c>
      <c r="F223" s="202">
        <f t="shared" si="13"/>
        <v>765.03</v>
      </c>
      <c r="G223" s="373"/>
    </row>
    <row r="224" spans="1:7" ht="15" customHeight="1" x14ac:dyDescent="0.25">
      <c r="A224" s="372" t="str">
        <f>'патриотика0,3643'!A269</f>
        <v>пьезозажтгалка</v>
      </c>
      <c r="B224" s="203" t="s">
        <v>84</v>
      </c>
      <c r="C224" s="208"/>
      <c r="D224" s="149">
        <f>'патриотика0,3643'!D269</f>
        <v>3.6430000000000002</v>
      </c>
      <c r="E224" s="354">
        <f>'патриотика0,3643'!E269</f>
        <v>350</v>
      </c>
      <c r="F224" s="202">
        <f t="shared" si="13"/>
        <v>1275.0500000000002</v>
      </c>
      <c r="G224" s="373"/>
    </row>
    <row r="225" spans="1:7" ht="15" customHeight="1" x14ac:dyDescent="0.25">
      <c r="A225" s="372" t="str">
        <f>'патриотика0,3643'!A270</f>
        <v>лейка садовая</v>
      </c>
      <c r="B225" s="203" t="s">
        <v>84</v>
      </c>
      <c r="C225" s="208"/>
      <c r="D225" s="149">
        <f>'патриотика0,3643'!D270</f>
        <v>0.36430000000000001</v>
      </c>
      <c r="E225" s="354">
        <f>'патриотика0,3643'!E270</f>
        <v>450</v>
      </c>
      <c r="F225" s="202">
        <f t="shared" si="13"/>
        <v>163.935</v>
      </c>
      <c r="G225" s="373"/>
    </row>
    <row r="226" spans="1:7" ht="15" customHeight="1" x14ac:dyDescent="0.25">
      <c r="A226" s="372" t="str">
        <f>'патриотика0,3643'!A271</f>
        <v>Толстовка мц</v>
      </c>
      <c r="B226" s="203" t="s">
        <v>84</v>
      </c>
      <c r="C226" s="208"/>
      <c r="D226" s="149">
        <f>'патриотика0,3643'!D271</f>
        <v>2.5501</v>
      </c>
      <c r="E226" s="354">
        <f>'патриотика0,3643'!E271</f>
        <v>3200</v>
      </c>
      <c r="F226" s="202">
        <f t="shared" si="13"/>
        <v>8160.32</v>
      </c>
      <c r="G226" s="373"/>
    </row>
    <row r="227" spans="1:7" ht="15" customHeight="1" x14ac:dyDescent="0.25">
      <c r="A227" s="372" t="str">
        <f>'патриотика0,3643'!A272</f>
        <v>футболка мц</v>
      </c>
      <c r="B227" s="203" t="s">
        <v>84</v>
      </c>
      <c r="C227" s="208"/>
      <c r="D227" s="149">
        <f>'патриотика0,3643'!D272</f>
        <v>3.6430000000000002</v>
      </c>
      <c r="E227" s="354">
        <f>'патриотика0,3643'!E272</f>
        <v>1260</v>
      </c>
      <c r="F227" s="202">
        <f t="shared" si="13"/>
        <v>4590.18</v>
      </c>
      <c r="G227" s="373"/>
    </row>
    <row r="228" spans="1:7" ht="15" customHeight="1" x14ac:dyDescent="0.25">
      <c r="A228" s="372" t="str">
        <f>'патриотика0,3643'!A273</f>
        <v>бейсболка мц</v>
      </c>
      <c r="B228" s="203" t="s">
        <v>84</v>
      </c>
      <c r="C228" s="208"/>
      <c r="D228" s="149">
        <f>'патриотика0,3643'!D273</f>
        <v>2.5501</v>
      </c>
      <c r="E228" s="354">
        <f>'патриотика0,3643'!E273</f>
        <v>800</v>
      </c>
      <c r="F228" s="202">
        <f t="shared" si="13"/>
        <v>2040.08</v>
      </c>
      <c r="G228" s="373"/>
    </row>
    <row r="229" spans="1:7" ht="15" customHeight="1" x14ac:dyDescent="0.25">
      <c r="A229" s="372" t="str">
        <f>'патриотика0,3643'!A274</f>
        <v>флаг мц</v>
      </c>
      <c r="B229" s="203" t="s">
        <v>84</v>
      </c>
      <c r="C229" s="208"/>
      <c r="D229" s="149">
        <f>'патриотика0,3643'!D274</f>
        <v>0.36430000000000001</v>
      </c>
      <c r="E229" s="354">
        <f>'патриотика0,3643'!E274</f>
        <v>2400</v>
      </c>
      <c r="F229" s="202">
        <f t="shared" si="13"/>
        <v>874.32</v>
      </c>
      <c r="G229" s="373"/>
    </row>
    <row r="230" spans="1:7" ht="15" customHeight="1" x14ac:dyDescent="0.25">
      <c r="A230" s="372" t="str">
        <f>'патриотика0,3643'!A275</f>
        <v>Футболка черная</v>
      </c>
      <c r="B230" s="203" t="s">
        <v>84</v>
      </c>
      <c r="C230" s="208"/>
      <c r="D230" s="149">
        <f>'патриотика0,3643'!D275</f>
        <v>1.8215000000000001</v>
      </c>
      <c r="E230" s="354">
        <f>'патриотика0,3643'!E275</f>
        <v>2000</v>
      </c>
      <c r="F230" s="202">
        <f t="shared" si="13"/>
        <v>3643.0000000000005</v>
      </c>
      <c r="G230" s="373"/>
    </row>
    <row r="231" spans="1:7" ht="15" customHeight="1" x14ac:dyDescent="0.25">
      <c r="A231" s="372" t="str">
        <f>'патриотика0,3643'!A276</f>
        <v>система джокер 2*3</v>
      </c>
      <c r="B231" s="203" t="s">
        <v>84</v>
      </c>
      <c r="C231" s="208"/>
      <c r="D231" s="149">
        <f>'патриотика0,3643'!D276</f>
        <v>0.36430000000000001</v>
      </c>
      <c r="E231" s="354">
        <f>'патриотика0,3643'!E276</f>
        <v>9800</v>
      </c>
      <c r="F231" s="202">
        <f t="shared" si="13"/>
        <v>3570.1400000000003</v>
      </c>
      <c r="G231" s="373"/>
    </row>
    <row r="232" spans="1:7" ht="15" customHeight="1" x14ac:dyDescent="0.25">
      <c r="A232" s="372" t="str">
        <f>'патриотика0,3643'!A277</f>
        <v>система джокер 2*2</v>
      </c>
      <c r="B232" s="203" t="s">
        <v>84</v>
      </c>
      <c r="C232" s="208"/>
      <c r="D232" s="149">
        <f>'патриотика0,3643'!D277</f>
        <v>0.72860000000000003</v>
      </c>
      <c r="E232" s="354">
        <f>'патриотика0,3643'!E277</f>
        <v>9800</v>
      </c>
      <c r="F232" s="202">
        <f t="shared" si="13"/>
        <v>7140.2800000000007</v>
      </c>
      <c r="G232" s="373"/>
    </row>
    <row r="233" spans="1:7" ht="15" customHeight="1" x14ac:dyDescent="0.25">
      <c r="A233" s="372" t="str">
        <f>'патриотика0,3643'!A278</f>
        <v xml:space="preserve">мачта разборка </v>
      </c>
      <c r="B233" s="203" t="s">
        <v>84</v>
      </c>
      <c r="C233" s="208"/>
      <c r="D233" s="149">
        <f>'патриотика0,3643'!D278</f>
        <v>0.36430000000000001</v>
      </c>
      <c r="E233" s="354">
        <f>'патриотика0,3643'!E278</f>
        <v>6000</v>
      </c>
      <c r="F233" s="202">
        <f t="shared" si="13"/>
        <v>2185.8000000000002</v>
      </c>
      <c r="G233" s="373"/>
    </row>
    <row r="234" spans="1:7" ht="15" customHeight="1" x14ac:dyDescent="0.25">
      <c r="A234" s="372" t="str">
        <f>'патриотика0,3643'!A279</f>
        <v>флаг парус</v>
      </c>
      <c r="B234" s="203" t="s">
        <v>84</v>
      </c>
      <c r="C234" s="200"/>
      <c r="D234" s="149">
        <f>'патриотика0,3643'!D279</f>
        <v>0.36430000000000001</v>
      </c>
      <c r="E234" s="354">
        <f>'патриотика0,3643'!E279</f>
        <v>6500</v>
      </c>
      <c r="F234" s="202">
        <f t="shared" si="13"/>
        <v>2367.9500000000003</v>
      </c>
      <c r="G234" s="373"/>
    </row>
    <row r="235" spans="1:7" ht="15" customHeight="1" x14ac:dyDescent="0.25">
      <c r="A235" s="372" t="str">
        <f>'патриотика0,3643'!A280</f>
        <v>сучка кофр</v>
      </c>
      <c r="B235" s="203" t="s">
        <v>84</v>
      </c>
      <c r="C235" s="200"/>
      <c r="D235" s="149">
        <f>'патриотика0,3643'!D280</f>
        <v>0.36430000000000001</v>
      </c>
      <c r="E235" s="354">
        <f>'патриотика0,3643'!E280</f>
        <v>2500</v>
      </c>
      <c r="F235" s="202">
        <f t="shared" si="13"/>
        <v>910.75</v>
      </c>
      <c r="G235" s="373"/>
    </row>
    <row r="236" spans="1:7" ht="15.75" x14ac:dyDescent="0.25">
      <c r="A236" s="372" t="str">
        <f>'патриотика0,3643'!A281</f>
        <v>Бумага А4 офисная</v>
      </c>
      <c r="B236" s="203" t="s">
        <v>84</v>
      </c>
      <c r="C236" s="200"/>
      <c r="D236" s="149">
        <f>'патриотика0,3643'!D281</f>
        <v>29.144000000000002</v>
      </c>
      <c r="E236" s="354">
        <f>'патриотика0,3643'!E281</f>
        <v>377.5</v>
      </c>
      <c r="F236" s="202">
        <f t="shared" si="13"/>
        <v>11001.86</v>
      </c>
      <c r="G236" s="373"/>
    </row>
    <row r="237" spans="1:7" ht="15.75" x14ac:dyDescent="0.25">
      <c r="A237" s="372" t="str">
        <f>'патриотика0,3643'!A282</f>
        <v>Фотобумага А4 глянцевая</v>
      </c>
      <c r="B237" s="203" t="s">
        <v>84</v>
      </c>
      <c r="C237" s="200"/>
      <c r="D237" s="149">
        <f>'патриотика0,3643'!D282</f>
        <v>16.7578</v>
      </c>
      <c r="E237" s="354">
        <f>'патриотика0,3643'!E282</f>
        <v>1040</v>
      </c>
      <c r="F237" s="202">
        <f t="shared" si="13"/>
        <v>17428.112000000001</v>
      </c>
      <c r="G237" s="373"/>
    </row>
    <row r="238" spans="1:7" ht="15.75" x14ac:dyDescent="0.25">
      <c r="A238" s="372" t="str">
        <f>'патриотика0,3643'!A283</f>
        <v>Карта памяти Kingston для экшн камеры</v>
      </c>
      <c r="B238" s="203" t="s">
        <v>84</v>
      </c>
      <c r="C238" s="200"/>
      <c r="D238" s="149">
        <f>'патриотика0,3643'!D283</f>
        <v>0.36430000000000001</v>
      </c>
      <c r="E238" s="354">
        <f>'патриотика0,3643'!E283</f>
        <v>11990</v>
      </c>
      <c r="F238" s="202">
        <f t="shared" si="13"/>
        <v>4367.9570000000003</v>
      </c>
      <c r="G238" s="373"/>
    </row>
    <row r="239" spans="1:7" ht="15.75" x14ac:dyDescent="0.25">
      <c r="A239" s="372" t="str">
        <f>'патриотика0,3643'!A284</f>
        <v>Фоторамки</v>
      </c>
      <c r="B239" s="203" t="s">
        <v>84</v>
      </c>
      <c r="C239" s="200"/>
      <c r="D239" s="149">
        <f>'патриотика0,3643'!D284</f>
        <v>72.86</v>
      </c>
      <c r="E239" s="354">
        <f>'патриотика0,3643'!E284</f>
        <v>205</v>
      </c>
      <c r="F239" s="202">
        <f t="shared" si="13"/>
        <v>14936.3</v>
      </c>
      <c r="G239" s="373"/>
    </row>
    <row r="240" spans="1:7" ht="15.75" x14ac:dyDescent="0.25">
      <c r="A240" s="372" t="str">
        <f>'патриотика0,3643'!A285</f>
        <v>Мышь USB</v>
      </c>
      <c r="B240" s="203" t="s">
        <v>84</v>
      </c>
      <c r="C240" s="271"/>
      <c r="D240" s="149">
        <f>'патриотика0,3643'!D285</f>
        <v>1.4572000000000001</v>
      </c>
      <c r="E240" s="354">
        <f>'патриотика0,3643'!E285</f>
        <v>487.5</v>
      </c>
      <c r="F240" s="202">
        <f t="shared" si="13"/>
        <v>710.38499999999999</v>
      </c>
      <c r="G240" s="373"/>
    </row>
    <row r="241" spans="1:7" ht="15.75" x14ac:dyDescent="0.25">
      <c r="A241" s="372" t="str">
        <f>'патриотика0,3643'!A286</f>
        <v>Фанера</v>
      </c>
      <c r="B241" s="203" t="s">
        <v>84</v>
      </c>
      <c r="C241" s="271"/>
      <c r="D241" s="149">
        <f>'патриотика0,3643'!D286</f>
        <v>14.572000000000001</v>
      </c>
      <c r="E241" s="354">
        <f>'патриотика0,3643'!E286</f>
        <v>1100</v>
      </c>
      <c r="F241" s="202">
        <f t="shared" si="13"/>
        <v>16029.2</v>
      </c>
      <c r="G241" s="373"/>
    </row>
    <row r="242" spans="1:7" ht="15.75" x14ac:dyDescent="0.25">
      <c r="A242" s="372" t="str">
        <f>'патриотика0,3643'!A287</f>
        <v>Труба профильная</v>
      </c>
      <c r="B242" s="203" t="s">
        <v>84</v>
      </c>
      <c r="C242" s="271"/>
      <c r="D242" s="149">
        <f>'патриотика0,3643'!D287</f>
        <v>25.501000000000001</v>
      </c>
      <c r="E242" s="354">
        <f>'патриотика0,3643'!E287</f>
        <v>110</v>
      </c>
      <c r="F242" s="202">
        <f t="shared" si="13"/>
        <v>2805.11</v>
      </c>
      <c r="G242" s="373"/>
    </row>
    <row r="243" spans="1:7" ht="15.75" x14ac:dyDescent="0.25">
      <c r="A243" s="372" t="str">
        <f>'патриотика0,3643'!A288</f>
        <v>Фанера березовая шлифованная</v>
      </c>
      <c r="B243" s="203" t="s">
        <v>84</v>
      </c>
      <c r="C243" s="271"/>
      <c r="D243" s="149">
        <f>'патриотика0,3643'!D288</f>
        <v>3.6430000000000002</v>
      </c>
      <c r="E243" s="354">
        <f>'патриотика0,3643'!E288</f>
        <v>1900</v>
      </c>
      <c r="F243" s="202">
        <f>D243*E243</f>
        <v>6921.7000000000007</v>
      </c>
      <c r="G243" s="373"/>
    </row>
    <row r="244" spans="1:7" ht="15.75" x14ac:dyDescent="0.25">
      <c r="A244" s="372" t="str">
        <f>'патриотика0,3643'!A289</f>
        <v>Чернозем для клумб</v>
      </c>
      <c r="B244" s="203" t="s">
        <v>84</v>
      </c>
      <c r="C244" s="204"/>
      <c r="D244" s="149">
        <f>'патриотика0,3643'!D289</f>
        <v>0.72860000000000003</v>
      </c>
      <c r="E244" s="354">
        <f>'патриотика0,3643'!E289</f>
        <v>3500</v>
      </c>
      <c r="F244" s="202">
        <f t="shared" si="13"/>
        <v>2550.1</v>
      </c>
      <c r="G244" s="373"/>
    </row>
    <row r="245" spans="1:7" ht="15.75" x14ac:dyDescent="0.25">
      <c r="A245" s="372" t="str">
        <f>'патриотика0,3643'!A290</f>
        <v>Кисти</v>
      </c>
      <c r="B245" s="203" t="s">
        <v>84</v>
      </c>
      <c r="C245" s="271"/>
      <c r="D245" s="149">
        <f>'патриотика0,3643'!D290</f>
        <v>14.572000000000001</v>
      </c>
      <c r="E245" s="354">
        <f>'патриотика0,3643'!E290</f>
        <v>50</v>
      </c>
      <c r="F245" s="202">
        <f t="shared" si="13"/>
        <v>728.6</v>
      </c>
      <c r="G245" s="373"/>
    </row>
    <row r="246" spans="1:7" ht="15.75" x14ac:dyDescent="0.25">
      <c r="A246" s="372" t="str">
        <f>'патриотика0,3643'!A291</f>
        <v>краска кудо</v>
      </c>
      <c r="B246" s="203" t="s">
        <v>84</v>
      </c>
      <c r="C246" s="271"/>
      <c r="D246" s="149">
        <f>'патриотика0,3643'!D291</f>
        <v>3.6430000000000002</v>
      </c>
      <c r="E246" s="354">
        <f>'патриотика0,3643'!E291</f>
        <v>300</v>
      </c>
      <c r="F246" s="202">
        <f t="shared" si="13"/>
        <v>1092.9000000000001</v>
      </c>
      <c r="G246" s="373"/>
    </row>
    <row r="247" spans="1:7" ht="15.75" x14ac:dyDescent="0.25">
      <c r="A247" s="372" t="str">
        <f>'патриотика0,3643'!A292</f>
        <v>Валик+ванночка</v>
      </c>
      <c r="B247" s="203" t="s">
        <v>84</v>
      </c>
      <c r="C247" s="271"/>
      <c r="D247" s="149">
        <f>'патриотика0,3643'!D292</f>
        <v>3.6430000000000002</v>
      </c>
      <c r="E247" s="354">
        <f>'патриотика0,3643'!E292</f>
        <v>210</v>
      </c>
      <c r="F247" s="202">
        <f t="shared" si="13"/>
        <v>765.03000000000009</v>
      </c>
      <c r="G247" s="373"/>
    </row>
    <row r="248" spans="1:7" ht="15.75" x14ac:dyDescent="0.25">
      <c r="A248" s="372" t="str">
        <f>'патриотика0,3643'!A293</f>
        <v>Ножницыы</v>
      </c>
      <c r="B248" s="203" t="s">
        <v>84</v>
      </c>
      <c r="C248" s="271"/>
      <c r="D248" s="149">
        <f>'патриотика0,3643'!D293</f>
        <v>3.6430000000000002</v>
      </c>
      <c r="E248" s="354">
        <f>'патриотика0,3643'!E293</f>
        <v>34</v>
      </c>
      <c r="F248" s="202">
        <f t="shared" si="13"/>
        <v>123.86200000000001</v>
      </c>
      <c r="G248" s="373"/>
    </row>
    <row r="249" spans="1:7" ht="15.75" x14ac:dyDescent="0.25">
      <c r="A249" s="372" t="str">
        <f>'патриотика0,3643'!A294</f>
        <v>Бумага А4</v>
      </c>
      <c r="B249" s="203" t="s">
        <v>84</v>
      </c>
      <c r="C249" s="271"/>
      <c r="D249" s="149">
        <f>'патриотика0,3643'!D294</f>
        <v>36.43</v>
      </c>
      <c r="E249" s="354">
        <f>'патриотика0,3643'!E294</f>
        <v>205.17</v>
      </c>
      <c r="F249" s="202">
        <f t="shared" si="13"/>
        <v>7474.3430999999991</v>
      </c>
      <c r="G249" s="373"/>
    </row>
    <row r="250" spans="1:7" ht="15.75" x14ac:dyDescent="0.25">
      <c r="A250" s="372" t="str">
        <f>'патриотика0,3643'!A295</f>
        <v>Грабли, лопаты</v>
      </c>
      <c r="B250" s="203" t="s">
        <v>84</v>
      </c>
      <c r="C250" s="271"/>
      <c r="D250" s="149">
        <f>'патриотика0,3643'!D295</f>
        <v>3.6430000000000002</v>
      </c>
      <c r="E250" s="354">
        <f>'патриотика0,3643'!E295</f>
        <v>400.04</v>
      </c>
      <c r="F250" s="202">
        <f t="shared" si="13"/>
        <v>1457.3457200000003</v>
      </c>
      <c r="G250" s="373"/>
    </row>
    <row r="251" spans="1:7" ht="15.75" x14ac:dyDescent="0.25">
      <c r="A251" s="372" t="str">
        <f>'патриотика0,3643'!A296</f>
        <v>ГСМ Бензин</v>
      </c>
      <c r="B251" s="203" t="s">
        <v>84</v>
      </c>
      <c r="C251" s="271"/>
      <c r="D251" s="149">
        <f>'патриотика0,3643'!D296</f>
        <v>947.18000000000006</v>
      </c>
      <c r="E251" s="354">
        <f>'патриотика0,3643'!E296</f>
        <v>50</v>
      </c>
      <c r="F251" s="202">
        <f>D251*E251-75.29</f>
        <v>47283.71</v>
      </c>
      <c r="G251" s="373"/>
    </row>
    <row r="252" spans="1:7" ht="15.75" x14ac:dyDescent="0.25">
      <c r="A252" s="372" t="str">
        <f>'патриотика0,3643'!A297</f>
        <v>Набор для ухода за оптикой</v>
      </c>
      <c r="B252" s="203" t="s">
        <v>84</v>
      </c>
      <c r="C252" s="271"/>
      <c r="D252" s="149">
        <f>'патриотика0,3643'!D297</f>
        <v>0.36430000000000001</v>
      </c>
      <c r="E252" s="354">
        <f>'патриотика0,3643'!E297</f>
        <v>1500</v>
      </c>
      <c r="F252" s="202">
        <f t="shared" si="13"/>
        <v>546.45000000000005</v>
      </c>
      <c r="G252" s="373"/>
    </row>
    <row r="253" spans="1:7" ht="15.75" x14ac:dyDescent="0.25">
      <c r="A253" s="372" t="str">
        <f>'патриотика0,3643'!A298</f>
        <v>Фотосумка</v>
      </c>
      <c r="B253" s="203" t="s">
        <v>84</v>
      </c>
      <c r="C253" s="306"/>
      <c r="D253" s="149">
        <f>'патриотика0,3643'!D298</f>
        <v>0.36430000000000001</v>
      </c>
      <c r="E253" s="354">
        <f>'патриотика0,3643'!E298</f>
        <v>18000</v>
      </c>
      <c r="F253" s="202">
        <f t="shared" si="13"/>
        <v>6557.4000000000005</v>
      </c>
    </row>
    <row r="254" spans="1:7" ht="15.75" x14ac:dyDescent="0.25">
      <c r="A254" s="372" t="str">
        <f>'патриотика0,3643'!A299</f>
        <v>Карта памяти Kingston для экшн камеры</v>
      </c>
      <c r="B254" s="203" t="s">
        <v>84</v>
      </c>
      <c r="C254" s="306"/>
      <c r="D254" s="149">
        <f>'патриотика0,3643'!D299</f>
        <v>0.36430000000000001</v>
      </c>
      <c r="E254" s="354">
        <f>'патриотика0,3643'!E299</f>
        <v>13000</v>
      </c>
      <c r="F254" s="202">
        <f t="shared" si="13"/>
        <v>4735.9000000000005</v>
      </c>
    </row>
    <row r="255" spans="1:7" ht="15.75" x14ac:dyDescent="0.25">
      <c r="A255" s="372" t="str">
        <f>'патриотика0,3643'!A300</f>
        <v>Карта памяти экспресс</v>
      </c>
      <c r="B255" s="203" t="s">
        <v>84</v>
      </c>
      <c r="C255" s="306"/>
      <c r="D255" s="149">
        <f>'патриотика0,3643'!D300</f>
        <v>0.36430000000000001</v>
      </c>
      <c r="E255" s="354">
        <f>'патриотика0,3643'!E300</f>
        <v>21000</v>
      </c>
      <c r="F255" s="202">
        <f t="shared" si="13"/>
        <v>7650.3</v>
      </c>
    </row>
    <row r="256" spans="1:7" ht="15.75" x14ac:dyDescent="0.25">
      <c r="A256" s="372" t="str">
        <f>'патриотика0,3643'!A301</f>
        <v>Карт ридер</v>
      </c>
      <c r="B256" s="203" t="s">
        <v>84</v>
      </c>
      <c r="C256" s="306"/>
      <c r="D256" s="149">
        <f>'патриотика0,3643'!D301</f>
        <v>0.36430000000000001</v>
      </c>
      <c r="E256" s="354">
        <f>'патриотика0,3643'!E301</f>
        <v>9000</v>
      </c>
      <c r="F256" s="202">
        <f t="shared" si="13"/>
        <v>3278.7000000000003</v>
      </c>
    </row>
    <row r="257" spans="1:6" x14ac:dyDescent="0.25">
      <c r="A257" s="301"/>
      <c r="E257" s="84" t="s">
        <v>210</v>
      </c>
      <c r="F257" s="255">
        <f>SUM(F175:F256)</f>
        <v>333325.39966700005</v>
      </c>
    </row>
    <row r="258" spans="1:6" x14ac:dyDescent="0.25">
      <c r="A258" s="118"/>
    </row>
    <row r="259" spans="1:6" x14ac:dyDescent="0.25">
      <c r="A259" s="118"/>
    </row>
    <row r="260" spans="1:6" x14ac:dyDescent="0.25">
      <c r="A260" s="118"/>
    </row>
    <row r="261" spans="1:6" x14ac:dyDescent="0.25">
      <c r="A261" s="118"/>
    </row>
    <row r="262" spans="1:6" x14ac:dyDescent="0.25">
      <c r="A262" s="118"/>
    </row>
  </sheetData>
  <mergeCells count="143">
    <mergeCell ref="A126:B126"/>
    <mergeCell ref="A169:E169"/>
    <mergeCell ref="A170:F170"/>
    <mergeCell ref="A172:A173"/>
    <mergeCell ref="B172:B173"/>
    <mergeCell ref="D172:D173"/>
    <mergeCell ref="E172:E173"/>
    <mergeCell ref="F172:F173"/>
    <mergeCell ref="A145:F145"/>
    <mergeCell ref="A146:F146"/>
    <mergeCell ref="A147:F147"/>
    <mergeCell ref="A149:A150"/>
    <mergeCell ref="B149:B150"/>
    <mergeCell ref="D149:D150"/>
    <mergeCell ref="E149:E150"/>
    <mergeCell ref="F149:F150"/>
    <mergeCell ref="A127:F127"/>
    <mergeCell ref="A140:A141"/>
    <mergeCell ref="B140:B141"/>
    <mergeCell ref="D140:D141"/>
    <mergeCell ref="E140:E141"/>
    <mergeCell ref="B43:C43"/>
    <mergeCell ref="B44:C44"/>
    <mergeCell ref="G140:G141"/>
    <mergeCell ref="A129:A130"/>
    <mergeCell ref="B129:B130"/>
    <mergeCell ref="D129:D130"/>
    <mergeCell ref="E129:E130"/>
    <mergeCell ref="F129:F130"/>
    <mergeCell ref="G129:G130"/>
    <mergeCell ref="A137:F137"/>
    <mergeCell ref="A138:F138"/>
    <mergeCell ref="F140:F141"/>
    <mergeCell ref="A99:F99"/>
    <mergeCell ref="A106:E106"/>
    <mergeCell ref="A123:B123"/>
    <mergeCell ref="A124:B124"/>
    <mergeCell ref="A125:B125"/>
    <mergeCell ref="F108:F109"/>
    <mergeCell ref="A117:E117"/>
    <mergeCell ref="A118:F118"/>
    <mergeCell ref="A121:B121"/>
    <mergeCell ref="A108:A109"/>
    <mergeCell ref="B108:B109"/>
    <mergeCell ref="D108:D109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6:F86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5:F75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7:I79"/>
    <mergeCell ref="B80:B81"/>
    <mergeCell ref="D80:D81"/>
    <mergeCell ref="E80:E81"/>
    <mergeCell ref="F80:F81"/>
    <mergeCell ref="G80:G81"/>
    <mergeCell ref="I80:I81"/>
    <mergeCell ref="A64:B64"/>
    <mergeCell ref="A65:B65"/>
    <mergeCell ref="A66:B66"/>
    <mergeCell ref="A67:B67"/>
    <mergeCell ref="A68:B68"/>
    <mergeCell ref="A69:B69"/>
    <mergeCell ref="A70:B70"/>
    <mergeCell ref="A71:B71"/>
    <mergeCell ref="A122:B122"/>
    <mergeCell ref="A89:H89"/>
    <mergeCell ref="A80:A81"/>
    <mergeCell ref="A77:A79"/>
    <mergeCell ref="A105:F105"/>
    <mergeCell ref="A72:B72"/>
    <mergeCell ref="B77:B79"/>
    <mergeCell ref="D77:D79"/>
    <mergeCell ref="E77:F77"/>
    <mergeCell ref="G77:G79"/>
    <mergeCell ref="E108:E109"/>
    <mergeCell ref="A90:A92"/>
    <mergeCell ref="B90:C92"/>
    <mergeCell ref="D90:F90"/>
    <mergeCell ref="D91:D92"/>
    <mergeCell ref="E91:E92"/>
    <mergeCell ref="F91:F92"/>
    <mergeCell ref="B93:C9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6" max="9" man="1"/>
    <brk id="16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08" t="s">
        <v>182</v>
      </c>
      <c r="B1" s="582" t="s">
        <v>111</v>
      </c>
      <c r="C1" s="582"/>
      <c r="D1" s="582"/>
      <c r="E1" s="582"/>
      <c r="F1" s="582"/>
      <c r="G1" s="208" t="s">
        <v>183</v>
      </c>
      <c r="H1" s="207" t="s">
        <v>184</v>
      </c>
      <c r="I1" s="582" t="s">
        <v>185</v>
      </c>
      <c r="J1" s="582"/>
      <c r="K1" s="582"/>
    </row>
    <row r="2" spans="1:11" ht="15" customHeight="1" x14ac:dyDescent="0.25">
      <c r="A2" s="208">
        <v>1</v>
      </c>
      <c r="B2" s="563">
        <v>2</v>
      </c>
      <c r="C2" s="642"/>
      <c r="D2" s="642"/>
      <c r="E2" s="642"/>
      <c r="F2" s="564"/>
      <c r="G2" s="208">
        <v>3</v>
      </c>
      <c r="H2" s="208">
        <v>4</v>
      </c>
      <c r="I2" s="563">
        <v>5</v>
      </c>
      <c r="J2" s="642"/>
      <c r="K2" s="564"/>
    </row>
    <row r="3" spans="1:11" ht="15" customHeight="1" x14ac:dyDescent="0.25">
      <c r="A3" s="208">
        <v>1</v>
      </c>
      <c r="B3" s="358" t="s">
        <v>245</v>
      </c>
      <c r="C3" s="358" t="s">
        <v>245</v>
      </c>
      <c r="D3" s="358" t="s">
        <v>245</v>
      </c>
      <c r="E3" s="358" t="s">
        <v>245</v>
      </c>
      <c r="F3" s="358" t="s">
        <v>245</v>
      </c>
      <c r="G3" s="360">
        <v>7</v>
      </c>
      <c r="H3" s="362">
        <v>7500</v>
      </c>
      <c r="I3" s="272"/>
      <c r="J3" s="273"/>
      <c r="K3" s="274">
        <f>G3*H3</f>
        <v>52500</v>
      </c>
    </row>
    <row r="4" spans="1:11" ht="15" customHeight="1" x14ac:dyDescent="0.25">
      <c r="A4" s="208">
        <v>2</v>
      </c>
      <c r="B4" s="358" t="s">
        <v>246</v>
      </c>
      <c r="C4" s="358" t="s">
        <v>246</v>
      </c>
      <c r="D4" s="358" t="s">
        <v>246</v>
      </c>
      <c r="E4" s="358" t="s">
        <v>246</v>
      </c>
      <c r="F4" s="358" t="s">
        <v>246</v>
      </c>
      <c r="G4" s="360">
        <v>6</v>
      </c>
      <c r="H4" s="362">
        <v>1500</v>
      </c>
      <c r="I4" s="272"/>
      <c r="J4" s="273"/>
      <c r="K4" s="274">
        <f>G4*H4</f>
        <v>9000</v>
      </c>
    </row>
    <row r="5" spans="1:11" ht="15" customHeight="1" x14ac:dyDescent="0.25">
      <c r="A5" s="208">
        <v>3</v>
      </c>
      <c r="B5" s="358" t="s">
        <v>247</v>
      </c>
      <c r="C5" s="358" t="s">
        <v>247</v>
      </c>
      <c r="D5" s="358" t="s">
        <v>247</v>
      </c>
      <c r="E5" s="358" t="s">
        <v>247</v>
      </c>
      <c r="F5" s="358" t="s">
        <v>247</v>
      </c>
      <c r="G5" s="360">
        <v>6</v>
      </c>
      <c r="H5" s="362">
        <v>4500</v>
      </c>
      <c r="I5" s="272"/>
      <c r="J5" s="273"/>
      <c r="K5" s="274">
        <f>G5*H5</f>
        <v>27000</v>
      </c>
    </row>
    <row r="6" spans="1:11" ht="15" customHeight="1" x14ac:dyDescent="0.25">
      <c r="A6" s="208">
        <v>4</v>
      </c>
      <c r="B6" s="358" t="s">
        <v>248</v>
      </c>
      <c r="C6" s="358" t="s">
        <v>248</v>
      </c>
      <c r="D6" s="358" t="s">
        <v>248</v>
      </c>
      <c r="E6" s="358" t="s">
        <v>248</v>
      </c>
      <c r="F6" s="358" t="s">
        <v>248</v>
      </c>
      <c r="G6" s="360">
        <v>2</v>
      </c>
      <c r="H6" s="362">
        <v>13000</v>
      </c>
      <c r="I6" s="646">
        <f t="shared" ref="I6:I15" si="0">G6*H6</f>
        <v>26000</v>
      </c>
      <c r="J6" s="647"/>
      <c r="K6" s="648"/>
    </row>
    <row r="7" spans="1:11" ht="15" customHeight="1" x14ac:dyDescent="0.25">
      <c r="A7" s="208">
        <v>5</v>
      </c>
      <c r="B7" s="359" t="s">
        <v>249</v>
      </c>
      <c r="C7" s="359" t="s">
        <v>249</v>
      </c>
      <c r="D7" s="359" t="s">
        <v>249</v>
      </c>
      <c r="E7" s="359" t="s">
        <v>249</v>
      </c>
      <c r="F7" s="359" t="s">
        <v>249</v>
      </c>
      <c r="G7" s="361">
        <v>5</v>
      </c>
      <c r="H7" s="363">
        <v>1000</v>
      </c>
      <c r="I7" s="646">
        <f t="shared" si="0"/>
        <v>5000</v>
      </c>
      <c r="J7" s="647"/>
      <c r="K7" s="648"/>
    </row>
    <row r="8" spans="1:11" ht="15" customHeight="1" x14ac:dyDescent="0.25">
      <c r="A8" s="208">
        <v>6</v>
      </c>
      <c r="B8" s="359" t="s">
        <v>250</v>
      </c>
      <c r="C8" s="359" t="s">
        <v>250</v>
      </c>
      <c r="D8" s="359" t="s">
        <v>250</v>
      </c>
      <c r="E8" s="359" t="s">
        <v>250</v>
      </c>
      <c r="F8" s="359" t="s">
        <v>250</v>
      </c>
      <c r="G8" s="361">
        <v>2</v>
      </c>
      <c r="H8" s="363">
        <v>2100</v>
      </c>
      <c r="I8" s="646">
        <f t="shared" si="0"/>
        <v>4200</v>
      </c>
      <c r="J8" s="647"/>
      <c r="K8" s="648"/>
    </row>
    <row r="9" spans="1:11" ht="33" x14ac:dyDescent="0.25">
      <c r="A9" s="208">
        <v>7</v>
      </c>
      <c r="B9" s="358" t="s">
        <v>251</v>
      </c>
      <c r="C9" s="358" t="s">
        <v>251</v>
      </c>
      <c r="D9" s="358" t="s">
        <v>251</v>
      </c>
      <c r="E9" s="358" t="s">
        <v>251</v>
      </c>
      <c r="F9" s="358" t="s">
        <v>251</v>
      </c>
      <c r="G9" s="360">
        <v>4</v>
      </c>
      <c r="H9" s="362">
        <v>500</v>
      </c>
      <c r="I9" s="646">
        <f t="shared" si="0"/>
        <v>2000</v>
      </c>
      <c r="J9" s="647"/>
      <c r="K9" s="648"/>
    </row>
    <row r="10" spans="1:11" ht="15" customHeight="1" x14ac:dyDescent="0.25">
      <c r="A10" s="208">
        <v>8</v>
      </c>
      <c r="B10" s="358" t="s">
        <v>252</v>
      </c>
      <c r="C10" s="358" t="s">
        <v>252</v>
      </c>
      <c r="D10" s="358" t="s">
        <v>252</v>
      </c>
      <c r="E10" s="358" t="s">
        <v>252</v>
      </c>
      <c r="F10" s="358" t="s">
        <v>252</v>
      </c>
      <c r="G10" s="360">
        <v>20</v>
      </c>
      <c r="H10" s="362">
        <v>100</v>
      </c>
      <c r="I10" s="646">
        <f t="shared" si="0"/>
        <v>2000</v>
      </c>
      <c r="J10" s="647"/>
      <c r="K10" s="648"/>
    </row>
    <row r="11" spans="1:11" ht="15" customHeight="1" x14ac:dyDescent="0.25">
      <c r="A11" s="208">
        <v>9</v>
      </c>
      <c r="B11" s="358" t="s">
        <v>207</v>
      </c>
      <c r="C11" s="358" t="s">
        <v>207</v>
      </c>
      <c r="D11" s="358" t="s">
        <v>207</v>
      </c>
      <c r="E11" s="358" t="s">
        <v>207</v>
      </c>
      <c r="F11" s="358" t="s">
        <v>207</v>
      </c>
      <c r="G11" s="360">
        <v>15</v>
      </c>
      <c r="H11" s="362">
        <v>250</v>
      </c>
      <c r="I11" s="646">
        <f t="shared" si="0"/>
        <v>3750</v>
      </c>
      <c r="J11" s="647"/>
      <c r="K11" s="648"/>
    </row>
    <row r="12" spans="1:11" ht="15" customHeight="1" x14ac:dyDescent="0.25">
      <c r="A12" s="208">
        <v>10</v>
      </c>
      <c r="B12" s="358" t="s">
        <v>206</v>
      </c>
      <c r="C12" s="358" t="s">
        <v>206</v>
      </c>
      <c r="D12" s="358" t="s">
        <v>206</v>
      </c>
      <c r="E12" s="358" t="s">
        <v>206</v>
      </c>
      <c r="F12" s="358" t="s">
        <v>206</v>
      </c>
      <c r="G12" s="360">
        <v>100</v>
      </c>
      <c r="H12" s="362">
        <v>25</v>
      </c>
      <c r="I12" s="646">
        <f t="shared" si="0"/>
        <v>2500</v>
      </c>
      <c r="J12" s="647"/>
      <c r="K12" s="648"/>
    </row>
    <row r="13" spans="1:11" ht="15" customHeight="1" x14ac:dyDescent="0.25">
      <c r="A13" s="208">
        <v>11</v>
      </c>
      <c r="B13" s="358" t="s">
        <v>253</v>
      </c>
      <c r="C13" s="358" t="s">
        <v>253</v>
      </c>
      <c r="D13" s="358" t="s">
        <v>253</v>
      </c>
      <c r="E13" s="358" t="s">
        <v>253</v>
      </c>
      <c r="F13" s="358" t="s">
        <v>253</v>
      </c>
      <c r="G13" s="360">
        <v>30</v>
      </c>
      <c r="H13" s="362">
        <v>40</v>
      </c>
      <c r="I13" s="646">
        <f t="shared" si="0"/>
        <v>1200</v>
      </c>
      <c r="J13" s="647"/>
      <c r="K13" s="648"/>
    </row>
    <row r="14" spans="1:11" ht="15" customHeight="1" x14ac:dyDescent="0.25">
      <c r="A14" s="208">
        <v>12</v>
      </c>
      <c r="B14" s="358" t="s">
        <v>254</v>
      </c>
      <c r="C14" s="358" t="s">
        <v>254</v>
      </c>
      <c r="D14" s="358" t="s">
        <v>254</v>
      </c>
      <c r="E14" s="358" t="s">
        <v>254</v>
      </c>
      <c r="F14" s="358" t="s">
        <v>254</v>
      </c>
      <c r="G14" s="360">
        <v>40</v>
      </c>
      <c r="H14" s="362">
        <v>1500</v>
      </c>
      <c r="I14" s="646">
        <f t="shared" si="0"/>
        <v>60000</v>
      </c>
      <c r="J14" s="647"/>
      <c r="K14" s="648"/>
    </row>
    <row r="15" spans="1:11" ht="15" customHeight="1" x14ac:dyDescent="0.25">
      <c r="A15" s="208">
        <v>13</v>
      </c>
      <c r="B15" s="359" t="s">
        <v>255</v>
      </c>
      <c r="C15" s="359" t="s">
        <v>255</v>
      </c>
      <c r="D15" s="359" t="s">
        <v>255</v>
      </c>
      <c r="E15" s="359" t="s">
        <v>255</v>
      </c>
      <c r="F15" s="359" t="s">
        <v>255</v>
      </c>
      <c r="G15" s="360">
        <v>10</v>
      </c>
      <c r="H15" s="362">
        <v>1200</v>
      </c>
      <c r="I15" s="646">
        <f t="shared" si="0"/>
        <v>12000</v>
      </c>
      <c r="J15" s="647"/>
      <c r="K15" s="648"/>
    </row>
    <row r="16" spans="1:11" ht="66" x14ac:dyDescent="0.25">
      <c r="A16" s="208">
        <v>14</v>
      </c>
      <c r="B16" s="359" t="s">
        <v>256</v>
      </c>
      <c r="C16" s="359" t="s">
        <v>256</v>
      </c>
      <c r="D16" s="359" t="s">
        <v>256</v>
      </c>
      <c r="E16" s="359" t="s">
        <v>256</v>
      </c>
      <c r="F16" s="359" t="s">
        <v>256</v>
      </c>
      <c r="G16" s="360">
        <v>5</v>
      </c>
      <c r="H16" s="362">
        <v>1200</v>
      </c>
      <c r="I16" s="223"/>
      <c r="J16" s="224"/>
      <c r="K16" s="270">
        <f>G16*H16</f>
        <v>6000</v>
      </c>
    </row>
    <row r="17" spans="1:11" ht="15" customHeight="1" x14ac:dyDescent="0.25">
      <c r="A17" s="208">
        <v>15</v>
      </c>
      <c r="B17" s="359" t="s">
        <v>257</v>
      </c>
      <c r="C17" s="359" t="s">
        <v>257</v>
      </c>
      <c r="D17" s="359" t="s">
        <v>257</v>
      </c>
      <c r="E17" s="359" t="s">
        <v>257</v>
      </c>
      <c r="F17" s="359" t="s">
        <v>257</v>
      </c>
      <c r="G17" s="360">
        <v>5</v>
      </c>
      <c r="H17" s="362">
        <v>1200</v>
      </c>
      <c r="I17" s="223"/>
      <c r="J17" s="224"/>
      <c r="K17" s="270">
        <f t="shared" ref="K17:K40" si="1">G17*H17</f>
        <v>6000</v>
      </c>
    </row>
    <row r="18" spans="1:11" ht="15" customHeight="1" x14ac:dyDescent="0.25">
      <c r="A18" s="208">
        <v>16</v>
      </c>
      <c r="B18" s="359" t="s">
        <v>258</v>
      </c>
      <c r="C18" s="359" t="s">
        <v>258</v>
      </c>
      <c r="D18" s="359" t="s">
        <v>258</v>
      </c>
      <c r="E18" s="359" t="s">
        <v>258</v>
      </c>
      <c r="F18" s="359" t="s">
        <v>258</v>
      </c>
      <c r="G18" s="360">
        <v>20</v>
      </c>
      <c r="H18" s="362">
        <v>400</v>
      </c>
      <c r="I18" s="223"/>
      <c r="J18" s="224"/>
      <c r="K18" s="270">
        <f t="shared" si="1"/>
        <v>8000</v>
      </c>
    </row>
    <row r="19" spans="1:11" ht="15" customHeight="1" x14ac:dyDescent="0.25">
      <c r="A19" s="208">
        <v>17</v>
      </c>
      <c r="B19" s="359" t="s">
        <v>259</v>
      </c>
      <c r="C19" s="359" t="s">
        <v>259</v>
      </c>
      <c r="D19" s="359" t="s">
        <v>259</v>
      </c>
      <c r="E19" s="359" t="s">
        <v>259</v>
      </c>
      <c r="F19" s="359" t="s">
        <v>259</v>
      </c>
      <c r="G19" s="360">
        <v>20</v>
      </c>
      <c r="H19" s="362">
        <v>300</v>
      </c>
      <c r="I19" s="223"/>
      <c r="J19" s="224"/>
      <c r="K19" s="270">
        <f t="shared" si="1"/>
        <v>6000</v>
      </c>
    </row>
    <row r="20" spans="1:11" ht="15" customHeight="1" x14ac:dyDescent="0.25">
      <c r="A20" s="208">
        <v>18</v>
      </c>
      <c r="B20" s="359" t="s">
        <v>204</v>
      </c>
      <c r="C20" s="359" t="s">
        <v>204</v>
      </c>
      <c r="D20" s="359" t="s">
        <v>204</v>
      </c>
      <c r="E20" s="359" t="s">
        <v>204</v>
      </c>
      <c r="F20" s="359" t="s">
        <v>204</v>
      </c>
      <c r="G20" s="360">
        <v>15</v>
      </c>
      <c r="H20" s="362">
        <v>900</v>
      </c>
      <c r="I20" s="223"/>
      <c r="J20" s="224"/>
      <c r="K20" s="270">
        <f t="shared" si="1"/>
        <v>13500</v>
      </c>
    </row>
    <row r="21" spans="1:11" ht="15" customHeight="1" x14ac:dyDescent="0.25">
      <c r="A21" s="208">
        <v>19</v>
      </c>
      <c r="B21" s="359" t="s">
        <v>260</v>
      </c>
      <c r="C21" s="359" t="s">
        <v>260</v>
      </c>
      <c r="D21" s="359" t="s">
        <v>260</v>
      </c>
      <c r="E21" s="359" t="s">
        <v>260</v>
      </c>
      <c r="F21" s="359" t="s">
        <v>260</v>
      </c>
      <c r="G21" s="360">
        <v>5</v>
      </c>
      <c r="H21" s="362">
        <v>3500</v>
      </c>
      <c r="I21" s="223"/>
      <c r="J21" s="224"/>
      <c r="K21" s="270">
        <f t="shared" si="1"/>
        <v>17500</v>
      </c>
    </row>
    <row r="22" spans="1:11" ht="15" customHeight="1" x14ac:dyDescent="0.25">
      <c r="A22" s="208">
        <v>20</v>
      </c>
      <c r="B22" s="359" t="s">
        <v>261</v>
      </c>
      <c r="C22" s="359" t="s">
        <v>261</v>
      </c>
      <c r="D22" s="359" t="s">
        <v>261</v>
      </c>
      <c r="E22" s="359" t="s">
        <v>261</v>
      </c>
      <c r="F22" s="359" t="s">
        <v>261</v>
      </c>
      <c r="G22" s="360">
        <v>10</v>
      </c>
      <c r="H22" s="362">
        <v>811</v>
      </c>
      <c r="I22" s="223"/>
      <c r="J22" s="224"/>
      <c r="K22" s="270">
        <f t="shared" si="1"/>
        <v>8110</v>
      </c>
    </row>
    <row r="23" spans="1:11" ht="15" customHeight="1" x14ac:dyDescent="0.25">
      <c r="A23" s="208">
        <v>21</v>
      </c>
      <c r="B23" s="359" t="s">
        <v>262</v>
      </c>
      <c r="C23" s="359" t="s">
        <v>262</v>
      </c>
      <c r="D23" s="359" t="s">
        <v>262</v>
      </c>
      <c r="E23" s="359" t="s">
        <v>262</v>
      </c>
      <c r="F23" s="359" t="s">
        <v>262</v>
      </c>
      <c r="G23" s="360">
        <v>10</v>
      </c>
      <c r="H23" s="362">
        <v>100</v>
      </c>
      <c r="I23" s="223"/>
      <c r="J23" s="224"/>
      <c r="K23" s="270">
        <f t="shared" si="1"/>
        <v>1000</v>
      </c>
    </row>
    <row r="24" spans="1:11" ht="15" customHeight="1" x14ac:dyDescent="0.25">
      <c r="A24" s="208">
        <v>22</v>
      </c>
      <c r="B24" s="359" t="s">
        <v>263</v>
      </c>
      <c r="C24" s="359" t="s">
        <v>263</v>
      </c>
      <c r="D24" s="359" t="s">
        <v>263</v>
      </c>
      <c r="E24" s="359" t="s">
        <v>263</v>
      </c>
      <c r="F24" s="359" t="s">
        <v>263</v>
      </c>
      <c r="G24" s="360">
        <v>5</v>
      </c>
      <c r="H24" s="362">
        <v>301</v>
      </c>
      <c r="I24" s="223"/>
      <c r="J24" s="224"/>
      <c r="K24" s="270">
        <f t="shared" si="1"/>
        <v>1505</v>
      </c>
    </row>
    <row r="25" spans="1:11" ht="15" customHeight="1" x14ac:dyDescent="0.25">
      <c r="A25" s="208">
        <v>23</v>
      </c>
      <c r="B25" s="359" t="s">
        <v>264</v>
      </c>
      <c r="C25" s="359" t="s">
        <v>264</v>
      </c>
      <c r="D25" s="359" t="s">
        <v>264</v>
      </c>
      <c r="E25" s="359" t="s">
        <v>264</v>
      </c>
      <c r="F25" s="359" t="s">
        <v>264</v>
      </c>
      <c r="G25" s="360">
        <v>30</v>
      </c>
      <c r="H25" s="362">
        <v>250</v>
      </c>
      <c r="I25" s="223"/>
      <c r="J25" s="224"/>
      <c r="K25" s="270">
        <f t="shared" si="1"/>
        <v>7500</v>
      </c>
    </row>
    <row r="26" spans="1:11" ht="15" customHeight="1" x14ac:dyDescent="0.25">
      <c r="A26" s="208">
        <v>24</v>
      </c>
      <c r="B26" s="359" t="s">
        <v>265</v>
      </c>
      <c r="C26" s="359" t="s">
        <v>265</v>
      </c>
      <c r="D26" s="359" t="s">
        <v>265</v>
      </c>
      <c r="E26" s="359" t="s">
        <v>265</v>
      </c>
      <c r="F26" s="359" t="s">
        <v>265</v>
      </c>
      <c r="G26" s="360">
        <v>5</v>
      </c>
      <c r="H26" s="362">
        <v>401</v>
      </c>
      <c r="I26" s="223"/>
      <c r="J26" s="224"/>
      <c r="K26" s="270">
        <f t="shared" si="1"/>
        <v>2005</v>
      </c>
    </row>
    <row r="27" spans="1:11" ht="15" customHeight="1" x14ac:dyDescent="0.25">
      <c r="A27" s="208">
        <v>25</v>
      </c>
      <c r="B27" s="359" t="s">
        <v>266</v>
      </c>
      <c r="C27" s="359" t="s">
        <v>266</v>
      </c>
      <c r="D27" s="359" t="s">
        <v>266</v>
      </c>
      <c r="E27" s="359" t="s">
        <v>266</v>
      </c>
      <c r="F27" s="359" t="s">
        <v>266</v>
      </c>
      <c r="G27" s="360">
        <v>20</v>
      </c>
      <c r="H27" s="362">
        <v>50</v>
      </c>
      <c r="I27" s="223"/>
      <c r="J27" s="224"/>
      <c r="K27" s="270">
        <f t="shared" si="1"/>
        <v>1000</v>
      </c>
    </row>
    <row r="28" spans="1:11" ht="15" customHeight="1" x14ac:dyDescent="0.25">
      <c r="A28" s="208">
        <v>26</v>
      </c>
      <c r="B28" s="359" t="s">
        <v>267</v>
      </c>
      <c r="C28" s="359" t="s">
        <v>267</v>
      </c>
      <c r="D28" s="359" t="s">
        <v>267</v>
      </c>
      <c r="E28" s="359" t="s">
        <v>267</v>
      </c>
      <c r="F28" s="359" t="s">
        <v>267</v>
      </c>
      <c r="G28" s="360">
        <v>40</v>
      </c>
      <c r="H28" s="362">
        <v>30</v>
      </c>
      <c r="I28" s="223"/>
      <c r="J28" s="224"/>
      <c r="K28" s="270">
        <f t="shared" si="1"/>
        <v>1200</v>
      </c>
    </row>
    <row r="29" spans="1:11" ht="15" customHeight="1" x14ac:dyDescent="0.25">
      <c r="A29" s="208">
        <v>27</v>
      </c>
      <c r="B29" s="359" t="s">
        <v>268</v>
      </c>
      <c r="C29" s="359" t="s">
        <v>268</v>
      </c>
      <c r="D29" s="359" t="s">
        <v>268</v>
      </c>
      <c r="E29" s="359" t="s">
        <v>268</v>
      </c>
      <c r="F29" s="359" t="s">
        <v>268</v>
      </c>
      <c r="G29" s="360">
        <v>10</v>
      </c>
      <c r="H29" s="362">
        <v>300</v>
      </c>
      <c r="I29" s="223"/>
      <c r="J29" s="224"/>
      <c r="K29" s="270">
        <f t="shared" si="1"/>
        <v>3000</v>
      </c>
    </row>
    <row r="30" spans="1:11" ht="15" customHeight="1" x14ac:dyDescent="0.25">
      <c r="A30" s="208">
        <v>28</v>
      </c>
      <c r="B30" s="359" t="s">
        <v>269</v>
      </c>
      <c r="C30" s="359" t="s">
        <v>269</v>
      </c>
      <c r="D30" s="359" t="s">
        <v>269</v>
      </c>
      <c r="E30" s="359" t="s">
        <v>269</v>
      </c>
      <c r="F30" s="359" t="s">
        <v>269</v>
      </c>
      <c r="G30" s="360">
        <v>10</v>
      </c>
      <c r="H30" s="362">
        <v>210</v>
      </c>
      <c r="I30" s="223"/>
      <c r="J30" s="224"/>
      <c r="K30" s="270">
        <f t="shared" si="1"/>
        <v>2100</v>
      </c>
    </row>
    <row r="31" spans="1:11" ht="33" x14ac:dyDescent="0.25">
      <c r="A31" s="208">
        <v>29</v>
      </c>
      <c r="B31" s="359" t="s">
        <v>270</v>
      </c>
      <c r="C31" s="359" t="s">
        <v>270</v>
      </c>
      <c r="D31" s="359" t="s">
        <v>270</v>
      </c>
      <c r="E31" s="359" t="s">
        <v>270</v>
      </c>
      <c r="F31" s="359" t="s">
        <v>270</v>
      </c>
      <c r="G31" s="360">
        <v>10</v>
      </c>
      <c r="H31" s="362">
        <v>150</v>
      </c>
      <c r="I31" s="223"/>
      <c r="J31" s="224"/>
      <c r="K31" s="270">
        <f t="shared" si="1"/>
        <v>1500</v>
      </c>
    </row>
    <row r="32" spans="1:11" ht="15" customHeight="1" x14ac:dyDescent="0.25">
      <c r="A32" s="208">
        <v>30</v>
      </c>
      <c r="B32" s="359" t="s">
        <v>271</v>
      </c>
      <c r="C32" s="359" t="s">
        <v>271</v>
      </c>
      <c r="D32" s="359" t="s">
        <v>271</v>
      </c>
      <c r="E32" s="359" t="s">
        <v>271</v>
      </c>
      <c r="F32" s="359" t="s">
        <v>271</v>
      </c>
      <c r="G32" s="360">
        <v>30</v>
      </c>
      <c r="H32" s="362">
        <v>50</v>
      </c>
      <c r="I32" s="223"/>
      <c r="J32" s="224"/>
      <c r="K32" s="270">
        <f t="shared" si="1"/>
        <v>1500</v>
      </c>
    </row>
    <row r="33" spans="1:11" ht="15" customHeight="1" x14ac:dyDescent="0.25">
      <c r="A33" s="208">
        <v>31</v>
      </c>
      <c r="B33" s="359" t="s">
        <v>272</v>
      </c>
      <c r="C33" s="359" t="s">
        <v>272</v>
      </c>
      <c r="D33" s="359" t="s">
        <v>272</v>
      </c>
      <c r="E33" s="359" t="s">
        <v>272</v>
      </c>
      <c r="F33" s="359" t="s">
        <v>272</v>
      </c>
      <c r="G33" s="360">
        <v>53</v>
      </c>
      <c r="H33" s="362">
        <v>30</v>
      </c>
      <c r="I33" s="223"/>
      <c r="J33" s="224"/>
      <c r="K33" s="270">
        <f t="shared" si="1"/>
        <v>1590</v>
      </c>
    </row>
    <row r="34" spans="1:11" ht="15" customHeight="1" x14ac:dyDescent="0.25">
      <c r="A34" s="208">
        <v>32</v>
      </c>
      <c r="B34" s="359" t="s">
        <v>273</v>
      </c>
      <c r="C34" s="359" t="s">
        <v>273</v>
      </c>
      <c r="D34" s="359" t="s">
        <v>273</v>
      </c>
      <c r="E34" s="359" t="s">
        <v>273</v>
      </c>
      <c r="F34" s="359" t="s">
        <v>273</v>
      </c>
      <c r="G34" s="360">
        <v>40</v>
      </c>
      <c r="H34" s="362">
        <v>100</v>
      </c>
      <c r="I34" s="223"/>
      <c r="J34" s="224"/>
      <c r="K34" s="270">
        <f t="shared" si="1"/>
        <v>4000</v>
      </c>
    </row>
    <row r="35" spans="1:11" ht="16.5" x14ac:dyDescent="0.25">
      <c r="A35" s="208">
        <v>33</v>
      </c>
      <c r="B35" s="359" t="s">
        <v>274</v>
      </c>
      <c r="C35" s="359" t="s">
        <v>274</v>
      </c>
      <c r="D35" s="359" t="s">
        <v>274</v>
      </c>
      <c r="E35" s="359" t="s">
        <v>274</v>
      </c>
      <c r="F35" s="359" t="s">
        <v>274</v>
      </c>
      <c r="G35" s="360">
        <v>50</v>
      </c>
      <c r="H35" s="362">
        <v>40</v>
      </c>
      <c r="I35" s="223"/>
      <c r="J35" s="224"/>
      <c r="K35" s="270">
        <f t="shared" si="1"/>
        <v>2000</v>
      </c>
    </row>
    <row r="36" spans="1:11" ht="33" x14ac:dyDescent="0.25">
      <c r="A36" s="208">
        <v>34</v>
      </c>
      <c r="B36" s="359" t="s">
        <v>275</v>
      </c>
      <c r="C36" s="359" t="s">
        <v>275</v>
      </c>
      <c r="D36" s="359" t="s">
        <v>275</v>
      </c>
      <c r="E36" s="359" t="s">
        <v>275</v>
      </c>
      <c r="F36" s="359" t="s">
        <v>275</v>
      </c>
      <c r="G36" s="360">
        <v>200</v>
      </c>
      <c r="H36" s="362">
        <v>80</v>
      </c>
      <c r="I36" s="223"/>
      <c r="J36" s="224"/>
      <c r="K36" s="270">
        <f t="shared" si="1"/>
        <v>16000</v>
      </c>
    </row>
    <row r="37" spans="1:11" ht="33" x14ac:dyDescent="0.25">
      <c r="A37" s="208">
        <v>35</v>
      </c>
      <c r="B37" s="359" t="s">
        <v>276</v>
      </c>
      <c r="C37" s="359" t="s">
        <v>276</v>
      </c>
      <c r="D37" s="359" t="s">
        <v>276</v>
      </c>
      <c r="E37" s="359" t="s">
        <v>276</v>
      </c>
      <c r="F37" s="359" t="s">
        <v>276</v>
      </c>
      <c r="G37" s="360">
        <v>70</v>
      </c>
      <c r="H37" s="362">
        <v>300</v>
      </c>
      <c r="I37" s="223"/>
      <c r="J37" s="224"/>
      <c r="K37" s="270">
        <f t="shared" si="1"/>
        <v>21000</v>
      </c>
    </row>
    <row r="38" spans="1:11" ht="33" x14ac:dyDescent="0.25">
      <c r="A38" s="208">
        <v>36</v>
      </c>
      <c r="B38" s="359" t="s">
        <v>277</v>
      </c>
      <c r="C38" s="359" t="s">
        <v>277</v>
      </c>
      <c r="D38" s="359" t="s">
        <v>277</v>
      </c>
      <c r="E38" s="359" t="s">
        <v>277</v>
      </c>
      <c r="F38" s="359" t="s">
        <v>277</v>
      </c>
      <c r="G38" s="360">
        <v>10</v>
      </c>
      <c r="H38" s="362">
        <v>400</v>
      </c>
      <c r="I38" s="223"/>
      <c r="J38" s="224"/>
      <c r="K38" s="270">
        <f t="shared" si="1"/>
        <v>4000</v>
      </c>
    </row>
    <row r="39" spans="1:11" ht="49.5" x14ac:dyDescent="0.25">
      <c r="A39" s="208">
        <v>37</v>
      </c>
      <c r="B39" s="359" t="s">
        <v>278</v>
      </c>
      <c r="C39" s="359" t="s">
        <v>278</v>
      </c>
      <c r="D39" s="359" t="s">
        <v>278</v>
      </c>
      <c r="E39" s="359" t="s">
        <v>278</v>
      </c>
      <c r="F39" s="359" t="s">
        <v>278</v>
      </c>
      <c r="G39" s="360">
        <v>10</v>
      </c>
      <c r="H39" s="362">
        <v>500</v>
      </c>
      <c r="I39" s="223"/>
      <c r="J39" s="224"/>
      <c r="K39" s="270">
        <f t="shared" si="1"/>
        <v>5000</v>
      </c>
    </row>
    <row r="40" spans="1:11" ht="33" x14ac:dyDescent="0.25">
      <c r="A40" s="208">
        <v>38</v>
      </c>
      <c r="B40" s="359" t="s">
        <v>279</v>
      </c>
      <c r="C40" s="359" t="s">
        <v>279</v>
      </c>
      <c r="D40" s="359" t="s">
        <v>279</v>
      </c>
      <c r="E40" s="359" t="s">
        <v>279</v>
      </c>
      <c r="F40" s="359" t="s">
        <v>279</v>
      </c>
      <c r="G40" s="360">
        <v>3000</v>
      </c>
      <c r="H40" s="362">
        <v>50</v>
      </c>
      <c r="I40" s="223"/>
      <c r="J40" s="224"/>
      <c r="K40" s="270">
        <f t="shared" si="1"/>
        <v>150000</v>
      </c>
    </row>
    <row r="41" spans="1:11" ht="16.5" x14ac:dyDescent="0.25">
      <c r="A41" s="208"/>
      <c r="B41" s="267"/>
      <c r="C41" s="268"/>
      <c r="D41" s="268"/>
      <c r="E41" s="268"/>
      <c r="F41" s="269"/>
      <c r="G41" s="360"/>
      <c r="H41" s="106"/>
      <c r="I41" s="223"/>
      <c r="J41" s="224"/>
      <c r="K41" s="270"/>
    </row>
    <row r="42" spans="1:11" x14ac:dyDescent="0.25">
      <c r="A42" s="208"/>
      <c r="B42" s="267"/>
      <c r="C42" s="268"/>
      <c r="D42" s="268"/>
      <c r="E42" s="268"/>
      <c r="F42" s="269"/>
      <c r="G42" s="208"/>
      <c r="H42" s="106"/>
      <c r="I42" s="223"/>
      <c r="J42" s="224"/>
      <c r="K42" s="270"/>
    </row>
    <row r="43" spans="1:11" x14ac:dyDescent="0.25">
      <c r="A43" s="208"/>
      <c r="B43" s="267"/>
      <c r="C43" s="268"/>
      <c r="D43" s="268"/>
      <c r="E43" s="268"/>
      <c r="F43" s="269"/>
      <c r="G43" s="208"/>
      <c r="H43" s="106"/>
      <c r="I43" s="223"/>
      <c r="J43" s="224"/>
      <c r="K43" s="270"/>
    </row>
    <row r="44" spans="1:11" x14ac:dyDescent="0.25">
      <c r="A44" s="208"/>
      <c r="B44" s="267"/>
      <c r="C44" s="268"/>
      <c r="D44" s="268"/>
      <c r="E44" s="268"/>
      <c r="F44" s="269"/>
      <c r="G44" s="208"/>
      <c r="H44" s="106"/>
      <c r="I44" s="223"/>
      <c r="J44" s="224"/>
      <c r="K44" s="270"/>
    </row>
    <row r="45" spans="1:11" x14ac:dyDescent="0.25">
      <c r="A45" s="208"/>
      <c r="B45" s="267"/>
      <c r="C45" s="268"/>
      <c r="D45" s="268"/>
      <c r="E45" s="268"/>
      <c r="F45" s="269"/>
      <c r="G45" s="208"/>
      <c r="H45" s="106"/>
      <c r="I45" s="223"/>
      <c r="J45" s="224"/>
      <c r="K45" s="270"/>
    </row>
    <row r="46" spans="1:11" x14ac:dyDescent="0.25">
      <c r="A46" s="208"/>
      <c r="B46" s="267"/>
      <c r="C46" s="268"/>
      <c r="D46" s="268"/>
      <c r="E46" s="268"/>
      <c r="F46" s="269"/>
      <c r="G46" s="208"/>
      <c r="H46" s="106"/>
      <c r="I46" s="223"/>
      <c r="J46" s="224"/>
      <c r="K46" s="270"/>
    </row>
    <row r="47" spans="1:11" x14ac:dyDescent="0.25">
      <c r="A47" s="208"/>
      <c r="B47" s="267"/>
      <c r="C47" s="268"/>
      <c r="D47" s="268"/>
      <c r="E47" s="268"/>
      <c r="F47" s="269"/>
      <c r="G47" s="208"/>
      <c r="H47" s="106"/>
      <c r="I47" s="223"/>
      <c r="J47" s="224"/>
      <c r="K47" s="270"/>
    </row>
    <row r="48" spans="1:11" x14ac:dyDescent="0.25">
      <c r="A48" s="208"/>
      <c r="B48" s="267"/>
      <c r="C48" s="268"/>
      <c r="D48" s="268"/>
      <c r="E48" s="268"/>
      <c r="F48" s="269"/>
      <c r="G48" s="208"/>
      <c r="H48" s="106"/>
      <c r="I48" s="223"/>
      <c r="J48" s="224"/>
      <c r="K48" s="270"/>
    </row>
    <row r="49" spans="1:11" x14ac:dyDescent="0.25">
      <c r="A49" s="208"/>
      <c r="B49" s="267"/>
      <c r="C49" s="268"/>
      <c r="D49" s="268"/>
      <c r="E49" s="268"/>
      <c r="F49" s="269"/>
      <c r="G49" s="208"/>
      <c r="H49" s="106"/>
      <c r="I49" s="223"/>
      <c r="J49" s="224"/>
      <c r="K49" s="270"/>
    </row>
    <row r="50" spans="1:11" ht="15" customHeight="1" x14ac:dyDescent="0.25">
      <c r="A50" s="208"/>
      <c r="B50" s="643"/>
      <c r="C50" s="644"/>
      <c r="D50" s="644"/>
      <c r="E50" s="644"/>
      <c r="F50" s="645"/>
      <c r="G50" s="208"/>
      <c r="H50" s="106"/>
      <c r="I50" s="224"/>
      <c r="J50" s="224"/>
      <c r="K50" s="270"/>
    </row>
    <row r="51" spans="1:11" ht="15" customHeight="1" x14ac:dyDescent="0.25">
      <c r="A51" s="208"/>
      <c r="B51" s="643"/>
      <c r="C51" s="644"/>
      <c r="D51" s="644"/>
      <c r="E51" s="644"/>
      <c r="F51" s="645"/>
      <c r="G51" s="208"/>
      <c r="H51" s="106"/>
      <c r="I51" s="224"/>
      <c r="J51" s="224"/>
      <c r="K51" s="270"/>
    </row>
    <row r="52" spans="1:11" ht="15" customHeight="1" x14ac:dyDescent="0.25">
      <c r="A52" s="208"/>
      <c r="B52" s="649"/>
      <c r="C52" s="649"/>
      <c r="D52" s="649"/>
      <c r="E52" s="649"/>
      <c r="F52" s="649"/>
      <c r="G52" s="208"/>
      <c r="H52" s="106"/>
      <c r="I52" s="650"/>
      <c r="J52" s="651"/>
      <c r="K52" s="651"/>
    </row>
    <row r="53" spans="1:11" ht="15" customHeight="1" x14ac:dyDescent="0.25">
      <c r="A53" s="208"/>
      <c r="B53" s="652"/>
      <c r="C53" s="653"/>
      <c r="D53" s="653"/>
      <c r="E53" s="653"/>
      <c r="F53" s="654"/>
      <c r="G53" s="208"/>
      <c r="H53" s="106"/>
      <c r="I53" s="222"/>
      <c r="J53" s="222"/>
      <c r="K53" s="266"/>
    </row>
    <row r="54" spans="1:11" ht="15" customHeight="1" x14ac:dyDescent="0.25">
      <c r="A54" s="208"/>
      <c r="B54" s="655"/>
      <c r="C54" s="655"/>
      <c r="D54" s="655"/>
      <c r="E54" s="655"/>
      <c r="F54" s="655"/>
      <c r="G54" s="271"/>
      <c r="H54" s="205"/>
      <c r="I54" s="646"/>
      <c r="J54" s="647"/>
      <c r="K54" s="648"/>
    </row>
    <row r="55" spans="1:11" ht="15" customHeight="1" x14ac:dyDescent="0.25">
      <c r="A55" s="208"/>
      <c r="B55" s="652"/>
      <c r="C55" s="653"/>
      <c r="D55" s="653"/>
      <c r="E55" s="653"/>
      <c r="F55" s="654"/>
      <c r="G55" s="208"/>
      <c r="H55" s="106"/>
      <c r="I55" s="656"/>
      <c r="J55" s="656"/>
      <c r="K55" s="656"/>
    </row>
    <row r="56" spans="1:11" ht="15" customHeight="1" x14ac:dyDescent="0.25">
      <c r="A56" s="208"/>
      <c r="B56" s="657"/>
      <c r="C56" s="658"/>
      <c r="D56" s="658"/>
      <c r="E56" s="658"/>
      <c r="F56" s="659"/>
      <c r="G56" s="208"/>
      <c r="H56" s="106"/>
      <c r="I56" s="656"/>
      <c r="J56" s="656"/>
      <c r="K56" s="656"/>
    </row>
    <row r="57" spans="1:11" ht="15" customHeight="1" x14ac:dyDescent="0.25">
      <c r="A57" s="208"/>
      <c r="B57" s="657"/>
      <c r="C57" s="658"/>
      <c r="D57" s="658"/>
      <c r="E57" s="658"/>
      <c r="F57" s="659"/>
      <c r="G57" s="208"/>
      <c r="H57" s="106"/>
      <c r="I57" s="656"/>
      <c r="J57" s="656"/>
      <c r="K57" s="656"/>
    </row>
    <row r="58" spans="1:11" ht="15" customHeight="1" x14ac:dyDescent="0.25">
      <c r="A58" s="208"/>
      <c r="B58" s="657"/>
      <c r="C58" s="658"/>
      <c r="D58" s="658"/>
      <c r="E58" s="658"/>
      <c r="F58" s="659"/>
      <c r="G58" s="208"/>
      <c r="H58" s="106"/>
      <c r="I58" s="656"/>
      <c r="J58" s="656"/>
      <c r="K58" s="656"/>
    </row>
    <row r="59" spans="1:11" ht="15" customHeight="1" x14ac:dyDescent="0.25">
      <c r="A59" s="208"/>
      <c r="B59" s="657"/>
      <c r="C59" s="658"/>
      <c r="D59" s="658"/>
      <c r="E59" s="658"/>
      <c r="F59" s="659"/>
      <c r="G59" s="208"/>
      <c r="H59" s="106"/>
      <c r="I59" s="656"/>
      <c r="J59" s="656"/>
      <c r="K59" s="656"/>
    </row>
    <row r="60" spans="1:11" ht="15" customHeight="1" x14ac:dyDescent="0.25">
      <c r="A60" s="208"/>
      <c r="B60" s="657"/>
      <c r="C60" s="658"/>
      <c r="D60" s="658"/>
      <c r="E60" s="658"/>
      <c r="F60" s="659"/>
      <c r="G60" s="208"/>
      <c r="H60" s="106"/>
      <c r="I60" s="656"/>
      <c r="J60" s="656"/>
      <c r="K60" s="656"/>
    </row>
    <row r="61" spans="1:11" ht="15" customHeight="1" x14ac:dyDescent="0.25">
      <c r="A61" s="208"/>
      <c r="B61" s="641"/>
      <c r="C61" s="641"/>
      <c r="D61" s="641"/>
      <c r="E61" s="641"/>
      <c r="F61" s="641"/>
      <c r="G61" s="247"/>
      <c r="H61" s="248"/>
      <c r="I61" s="222"/>
      <c r="J61" s="222"/>
      <c r="K61" s="266"/>
    </row>
    <row r="62" spans="1:11" ht="15" customHeight="1" x14ac:dyDescent="0.25">
      <c r="A62" s="208"/>
      <c r="B62" s="641"/>
      <c r="C62" s="641"/>
      <c r="D62" s="641"/>
      <c r="E62" s="641"/>
      <c r="F62" s="641"/>
      <c r="G62" s="247"/>
      <c r="H62" s="248"/>
      <c r="I62" s="222"/>
      <c r="J62" s="222"/>
      <c r="K62" s="266"/>
    </row>
    <row r="63" spans="1:11" ht="15" customHeight="1" x14ac:dyDescent="0.25">
      <c r="A63" s="208"/>
      <c r="B63" s="641"/>
      <c r="C63" s="641"/>
      <c r="D63" s="641"/>
      <c r="E63" s="641"/>
      <c r="F63" s="641"/>
      <c r="G63" s="247"/>
      <c r="H63" s="248"/>
      <c r="I63" s="222"/>
      <c r="J63" s="222"/>
      <c r="K63" s="266"/>
    </row>
    <row r="64" spans="1:11" ht="15" customHeight="1" x14ac:dyDescent="0.25">
      <c r="A64" s="208"/>
      <c r="B64" s="641"/>
      <c r="C64" s="641"/>
      <c r="D64" s="641"/>
      <c r="E64" s="641"/>
      <c r="F64" s="641"/>
      <c r="G64" s="247"/>
      <c r="H64" s="248"/>
      <c r="I64" s="222"/>
      <c r="J64" s="222"/>
      <c r="K64" s="266"/>
    </row>
    <row r="65" spans="1:11" ht="15" customHeight="1" x14ac:dyDescent="0.25">
      <c r="A65" s="208"/>
      <c r="B65" s="641"/>
      <c r="C65" s="641"/>
      <c r="D65" s="641"/>
      <c r="E65" s="641"/>
      <c r="F65" s="641"/>
      <c r="G65" s="247"/>
      <c r="H65" s="248"/>
      <c r="I65" s="222"/>
      <c r="J65" s="222"/>
      <c r="K65" s="266"/>
    </row>
    <row r="66" spans="1:11" ht="15" customHeight="1" x14ac:dyDescent="0.25">
      <c r="A66" s="208"/>
      <c r="B66" s="641"/>
      <c r="C66" s="641"/>
      <c r="D66" s="641"/>
      <c r="E66" s="641"/>
      <c r="F66" s="641"/>
      <c r="G66" s="247"/>
      <c r="H66" s="248"/>
      <c r="I66" s="222"/>
      <c r="J66" s="222"/>
      <c r="K66" s="266"/>
    </row>
    <row r="67" spans="1:11" ht="15" customHeight="1" x14ac:dyDescent="0.25">
      <c r="A67" s="208"/>
      <c r="B67" s="641"/>
      <c r="C67" s="641"/>
      <c r="D67" s="641"/>
      <c r="E67" s="641"/>
      <c r="F67" s="641"/>
      <c r="G67" s="247"/>
      <c r="H67" s="248"/>
      <c r="I67" s="222"/>
      <c r="J67" s="222"/>
      <c r="K67" s="266"/>
    </row>
    <row r="68" spans="1:11" ht="15" customHeight="1" x14ac:dyDescent="0.25">
      <c r="A68" s="208"/>
      <c r="B68" s="641"/>
      <c r="C68" s="641"/>
      <c r="D68" s="641"/>
      <c r="E68" s="641"/>
      <c r="F68" s="641"/>
      <c r="G68" s="247"/>
      <c r="H68" s="248"/>
      <c r="I68" s="222"/>
      <c r="J68" s="222"/>
      <c r="K68" s="266"/>
    </row>
    <row r="69" spans="1:11" ht="15" customHeight="1" x14ac:dyDescent="0.25">
      <c r="A69" s="208"/>
      <c r="B69" s="641"/>
      <c r="C69" s="641"/>
      <c r="D69" s="641"/>
      <c r="E69" s="641"/>
      <c r="F69" s="641"/>
      <c r="G69" s="247"/>
      <c r="H69" s="248"/>
      <c r="I69" s="222"/>
      <c r="J69" s="222"/>
      <c r="K69" s="266"/>
    </row>
    <row r="70" spans="1:11" ht="15" customHeight="1" x14ac:dyDescent="0.25">
      <c r="A70" s="208"/>
      <c r="B70" s="641"/>
      <c r="C70" s="641"/>
      <c r="D70" s="641"/>
      <c r="E70" s="641"/>
      <c r="F70" s="641"/>
      <c r="G70" s="247"/>
      <c r="H70" s="248"/>
      <c r="I70" s="222"/>
      <c r="J70" s="222"/>
      <c r="K70" s="266"/>
    </row>
    <row r="71" spans="1:11" ht="15" customHeight="1" x14ac:dyDescent="0.25">
      <c r="A71" s="208"/>
      <c r="B71" s="641"/>
      <c r="C71" s="641"/>
      <c r="D71" s="641"/>
      <c r="E71" s="641"/>
      <c r="F71" s="641"/>
      <c r="G71" s="247"/>
      <c r="H71" s="248"/>
      <c r="I71" s="222"/>
      <c r="J71" s="222"/>
      <c r="K71" s="266"/>
    </row>
    <row r="72" spans="1:11" ht="15" customHeight="1" x14ac:dyDescent="0.25">
      <c r="A72" s="208"/>
      <c r="B72" s="641"/>
      <c r="C72" s="641"/>
      <c r="D72" s="641"/>
      <c r="E72" s="641"/>
      <c r="F72" s="641"/>
      <c r="G72" s="247"/>
      <c r="H72" s="248"/>
      <c r="I72" s="222"/>
      <c r="J72" s="222"/>
      <c r="K72" s="266"/>
    </row>
    <row r="73" spans="1:11" ht="15" customHeight="1" x14ac:dyDescent="0.25">
      <c r="A73" s="208"/>
      <c r="B73" s="641"/>
      <c r="C73" s="641"/>
      <c r="D73" s="641"/>
      <c r="E73" s="641"/>
      <c r="F73" s="641"/>
      <c r="G73" s="247"/>
      <c r="H73" s="248"/>
      <c r="I73" s="222"/>
      <c r="J73" s="222"/>
      <c r="K73" s="266"/>
    </row>
    <row r="74" spans="1:11" ht="15" customHeight="1" x14ac:dyDescent="0.25">
      <c r="A74" s="208"/>
      <c r="B74" s="641"/>
      <c r="C74" s="641"/>
      <c r="D74" s="641"/>
      <c r="E74" s="641"/>
      <c r="F74" s="641"/>
      <c r="G74" s="247"/>
      <c r="H74" s="248"/>
      <c r="I74" s="222"/>
      <c r="J74" s="222"/>
      <c r="K74" s="266"/>
    </row>
    <row r="75" spans="1:11" ht="15" customHeight="1" x14ac:dyDescent="0.25">
      <c r="A75" s="208"/>
      <c r="B75" s="641"/>
      <c r="C75" s="641"/>
      <c r="D75" s="641"/>
      <c r="E75" s="641"/>
      <c r="F75" s="641"/>
      <c r="G75" s="247"/>
      <c r="H75" s="248"/>
      <c r="I75" s="222"/>
      <c r="J75" s="222"/>
      <c r="K75" s="266"/>
    </row>
    <row r="76" spans="1:11" ht="15" customHeight="1" x14ac:dyDescent="0.25">
      <c r="A76" s="208"/>
      <c r="B76" s="641"/>
      <c r="C76" s="641"/>
      <c r="D76" s="641"/>
      <c r="E76" s="641"/>
      <c r="F76" s="641"/>
      <c r="G76" s="247"/>
      <c r="H76" s="248"/>
      <c r="I76" s="222"/>
      <c r="J76" s="222"/>
      <c r="K76" s="266"/>
    </row>
    <row r="77" spans="1:11" ht="15" customHeight="1" x14ac:dyDescent="0.25">
      <c r="A77" s="208"/>
      <c r="B77" s="641"/>
      <c r="C77" s="641"/>
      <c r="D77" s="641"/>
      <c r="E77" s="641"/>
      <c r="F77" s="641"/>
      <c r="G77" s="247"/>
      <c r="H77" s="248"/>
      <c r="I77" s="222"/>
      <c r="J77" s="222"/>
      <c r="K77" s="266"/>
    </row>
    <row r="78" spans="1:11" ht="15" customHeight="1" x14ac:dyDescent="0.25">
      <c r="A78" s="208"/>
      <c r="B78" s="641"/>
      <c r="C78" s="641"/>
      <c r="D78" s="641"/>
      <c r="E78" s="641"/>
      <c r="F78" s="641"/>
      <c r="G78" s="247"/>
      <c r="H78" s="248"/>
      <c r="I78" s="222"/>
      <c r="J78" s="222"/>
      <c r="K78" s="266"/>
    </row>
    <row r="79" spans="1:11" ht="15" customHeight="1" x14ac:dyDescent="0.25">
      <c r="A79" s="208"/>
      <c r="B79" s="641"/>
      <c r="C79" s="641"/>
      <c r="D79" s="641"/>
      <c r="E79" s="641"/>
      <c r="F79" s="641"/>
      <c r="G79" s="247"/>
      <c r="H79" s="248"/>
      <c r="I79" s="222"/>
      <c r="J79" s="222"/>
      <c r="K79" s="266"/>
    </row>
    <row r="80" spans="1:11" ht="15" customHeight="1" x14ac:dyDescent="0.25">
      <c r="A80" s="208"/>
      <c r="B80" s="641"/>
      <c r="C80" s="641"/>
      <c r="D80" s="641"/>
      <c r="E80" s="641"/>
      <c r="F80" s="641"/>
      <c r="G80" s="247"/>
      <c r="H80" s="248"/>
      <c r="I80" s="222"/>
      <c r="J80" s="222"/>
      <c r="K80" s="266"/>
    </row>
    <row r="81" spans="1:11" ht="15" customHeight="1" x14ac:dyDescent="0.25">
      <c r="A81" s="208"/>
      <c r="B81" s="641"/>
      <c r="C81" s="641"/>
      <c r="D81" s="641"/>
      <c r="E81" s="641"/>
      <c r="F81" s="641"/>
      <c r="G81" s="247"/>
      <c r="H81" s="248"/>
      <c r="I81" s="222"/>
      <c r="J81" s="222"/>
      <c r="K81" s="266"/>
    </row>
    <row r="82" spans="1:11" ht="15" customHeight="1" x14ac:dyDescent="0.25">
      <c r="A82" s="208"/>
      <c r="B82" s="641"/>
      <c r="C82" s="641"/>
      <c r="D82" s="641"/>
      <c r="E82" s="641"/>
      <c r="F82" s="641"/>
      <c r="G82" s="247"/>
      <c r="H82" s="248"/>
      <c r="I82" s="222"/>
      <c r="J82" s="222"/>
      <c r="K82" s="266"/>
    </row>
    <row r="83" spans="1:11" ht="15" customHeight="1" x14ac:dyDescent="0.25">
      <c r="A83" s="208"/>
      <c r="B83" s="641"/>
      <c r="C83" s="641"/>
      <c r="D83" s="641"/>
      <c r="E83" s="641"/>
      <c r="F83" s="641"/>
      <c r="G83" s="247"/>
      <c r="H83" s="248"/>
      <c r="I83" s="222"/>
      <c r="J83" s="222"/>
      <c r="K83" s="266"/>
    </row>
    <row r="84" spans="1:11" ht="15" customHeight="1" x14ac:dyDescent="0.25">
      <c r="A84" s="208"/>
      <c r="B84" s="641"/>
      <c r="C84" s="641"/>
      <c r="D84" s="641"/>
      <c r="E84" s="641"/>
      <c r="F84" s="641"/>
      <c r="G84" s="247"/>
      <c r="H84" s="248"/>
      <c r="I84" s="222"/>
      <c r="J84" s="222"/>
      <c r="K84" s="266"/>
    </row>
    <row r="85" spans="1:11" ht="15" customHeight="1" x14ac:dyDescent="0.25">
      <c r="A85" s="208"/>
      <c r="B85" s="641"/>
      <c r="C85" s="641"/>
      <c r="D85" s="641"/>
      <c r="E85" s="641"/>
      <c r="F85" s="641"/>
      <c r="G85" s="247"/>
      <c r="H85" s="248"/>
      <c r="I85" s="222"/>
      <c r="J85" s="222"/>
      <c r="K85" s="266"/>
    </row>
    <row r="86" spans="1:11" ht="15" customHeight="1" x14ac:dyDescent="0.25">
      <c r="A86" s="208"/>
      <c r="B86" s="641"/>
      <c r="C86" s="641"/>
      <c r="D86" s="641"/>
      <c r="E86" s="641"/>
      <c r="F86" s="641"/>
      <c r="G86" s="247"/>
      <c r="H86" s="248"/>
      <c r="I86" s="222"/>
      <c r="J86" s="222"/>
      <c r="K86" s="266"/>
    </row>
    <row r="87" spans="1:11" ht="15" customHeight="1" x14ac:dyDescent="0.25">
      <c r="A87" s="208"/>
      <c r="B87" s="641"/>
      <c r="C87" s="641"/>
      <c r="D87" s="641"/>
      <c r="E87" s="641"/>
      <c r="F87" s="641"/>
      <c r="G87" s="247"/>
      <c r="H87" s="248"/>
      <c r="I87" s="222"/>
      <c r="J87" s="222"/>
      <c r="K87" s="266"/>
    </row>
    <row r="88" spans="1:11" ht="15" customHeight="1" x14ac:dyDescent="0.25">
      <c r="A88" s="208"/>
      <c r="B88" s="641"/>
      <c r="C88" s="641"/>
      <c r="D88" s="641"/>
      <c r="E88" s="641"/>
      <c r="F88" s="641"/>
      <c r="G88" s="247"/>
      <c r="H88" s="248"/>
      <c r="I88" s="222"/>
      <c r="J88" s="222"/>
      <c r="K88" s="266"/>
    </row>
    <row r="89" spans="1:11" ht="15" customHeight="1" x14ac:dyDescent="0.25">
      <c r="A89" s="208"/>
      <c r="B89" s="641"/>
      <c r="C89" s="641"/>
      <c r="D89" s="641"/>
      <c r="E89" s="641"/>
      <c r="F89" s="641"/>
      <c r="G89" s="247"/>
      <c r="H89" s="248"/>
      <c r="I89" s="222"/>
      <c r="J89" s="222"/>
      <c r="K89" s="266"/>
    </row>
    <row r="90" spans="1:11" ht="15" customHeight="1" x14ac:dyDescent="0.25">
      <c r="A90" s="208"/>
      <c r="B90" s="641"/>
      <c r="C90" s="641"/>
      <c r="D90" s="641"/>
      <c r="E90" s="641"/>
      <c r="F90" s="641"/>
      <c r="G90" s="247"/>
      <c r="H90" s="248"/>
      <c r="I90" s="222"/>
      <c r="J90" s="222"/>
      <c r="K90" s="266"/>
    </row>
    <row r="91" spans="1:11" ht="15" customHeight="1" x14ac:dyDescent="0.25">
      <c r="A91" s="208"/>
      <c r="B91" s="641"/>
      <c r="C91" s="641"/>
      <c r="D91" s="641"/>
      <c r="E91" s="641"/>
      <c r="F91" s="641"/>
      <c r="G91" s="247"/>
      <c r="H91" s="248"/>
      <c r="I91" s="222"/>
      <c r="J91" s="222"/>
      <c r="K91" s="266"/>
    </row>
    <row r="92" spans="1:11" ht="15" customHeight="1" x14ac:dyDescent="0.25">
      <c r="A92" s="208"/>
      <c r="B92" s="641"/>
      <c r="C92" s="641"/>
      <c r="D92" s="641"/>
      <c r="E92" s="641"/>
      <c r="F92" s="641"/>
      <c r="G92" s="247"/>
      <c r="H92" s="248"/>
      <c r="I92" s="222"/>
      <c r="J92" s="222"/>
      <c r="K92" s="266"/>
    </row>
    <row r="93" spans="1:11" ht="15" customHeight="1" x14ac:dyDescent="0.25">
      <c r="A93" s="208"/>
      <c r="B93" s="641"/>
      <c r="C93" s="641"/>
      <c r="D93" s="641"/>
      <c r="E93" s="641"/>
      <c r="F93" s="641"/>
      <c r="G93" s="247"/>
      <c r="H93" s="248"/>
      <c r="I93" s="222"/>
      <c r="J93" s="222"/>
      <c r="K93" s="266"/>
    </row>
    <row r="94" spans="1:11" ht="15" customHeight="1" x14ac:dyDescent="0.25">
      <c r="A94" s="208"/>
      <c r="B94" s="641"/>
      <c r="C94" s="641"/>
      <c r="D94" s="641"/>
      <c r="E94" s="641"/>
      <c r="F94" s="641"/>
      <c r="G94" s="247"/>
      <c r="H94" s="248"/>
      <c r="I94" s="222"/>
      <c r="J94" s="222"/>
      <c r="K94" s="266"/>
    </row>
    <row r="95" spans="1:11" ht="15" customHeight="1" x14ac:dyDescent="0.25">
      <c r="A95" s="208"/>
      <c r="B95" s="641"/>
      <c r="C95" s="641"/>
      <c r="D95" s="641"/>
      <c r="E95" s="641"/>
      <c r="F95" s="641"/>
      <c r="G95" s="247"/>
      <c r="H95" s="248"/>
      <c r="I95" s="222"/>
      <c r="J95" s="222"/>
      <c r="K95" s="266"/>
    </row>
    <row r="96" spans="1:11" ht="15" customHeight="1" x14ac:dyDescent="0.25">
      <c r="A96" s="208"/>
      <c r="B96" s="641"/>
      <c r="C96" s="641"/>
      <c r="D96" s="641"/>
      <c r="E96" s="641"/>
      <c r="F96" s="641"/>
      <c r="G96" s="247"/>
      <c r="H96" s="248"/>
      <c r="I96" s="222"/>
      <c r="J96" s="222"/>
      <c r="K96" s="266"/>
    </row>
    <row r="97" spans="1:11" ht="15" customHeight="1" x14ac:dyDescent="0.25">
      <c r="A97" s="208"/>
      <c r="B97" s="641"/>
      <c r="C97" s="641"/>
      <c r="D97" s="641"/>
      <c r="E97" s="641"/>
      <c r="F97" s="641"/>
      <c r="G97" s="247"/>
      <c r="H97" s="248"/>
      <c r="I97" s="222"/>
      <c r="J97" s="222"/>
      <c r="K97" s="266"/>
    </row>
    <row r="98" spans="1:11" ht="15" customHeight="1" x14ac:dyDescent="0.25">
      <c r="A98" s="208"/>
      <c r="B98" s="641"/>
      <c r="C98" s="641"/>
      <c r="D98" s="641"/>
      <c r="E98" s="641"/>
      <c r="F98" s="641"/>
      <c r="G98" s="247"/>
      <c r="H98" s="248"/>
      <c r="I98" s="222"/>
      <c r="J98" s="222"/>
      <c r="K98" s="266"/>
    </row>
    <row r="99" spans="1:11" ht="15" customHeight="1" x14ac:dyDescent="0.25">
      <c r="A99" s="208"/>
      <c r="B99" s="641"/>
      <c r="C99" s="641"/>
      <c r="D99" s="641"/>
      <c r="E99" s="641"/>
      <c r="F99" s="641"/>
      <c r="G99" s="247"/>
      <c r="H99" s="248"/>
      <c r="I99" s="222"/>
      <c r="J99" s="222"/>
      <c r="K99" s="266"/>
    </row>
    <row r="100" spans="1:11" ht="15" customHeight="1" x14ac:dyDescent="0.25">
      <c r="A100" s="208"/>
      <c r="B100" s="641"/>
      <c r="C100" s="641"/>
      <c r="D100" s="641"/>
      <c r="E100" s="641"/>
      <c r="F100" s="641"/>
      <c r="G100" s="247"/>
      <c r="H100" s="248"/>
      <c r="I100" s="222"/>
      <c r="J100" s="222"/>
      <c r="K100" s="266"/>
    </row>
    <row r="101" spans="1:11" ht="15" customHeight="1" x14ac:dyDescent="0.25">
      <c r="A101" s="208"/>
      <c r="B101" s="641"/>
      <c r="C101" s="641"/>
      <c r="D101" s="641"/>
      <c r="E101" s="641"/>
      <c r="F101" s="641"/>
      <c r="G101" s="247"/>
      <c r="H101" s="248"/>
      <c r="I101" s="222"/>
      <c r="J101" s="222"/>
      <c r="K101" s="266"/>
    </row>
    <row r="102" spans="1:11" ht="15" customHeight="1" x14ac:dyDescent="0.25">
      <c r="A102" s="208"/>
      <c r="B102" s="641"/>
      <c r="C102" s="641"/>
      <c r="D102" s="641"/>
      <c r="E102" s="641"/>
      <c r="F102" s="641"/>
      <c r="G102" s="247"/>
      <c r="H102" s="248"/>
      <c r="I102" s="222"/>
      <c r="J102" s="222"/>
      <c r="K102" s="266"/>
    </row>
    <row r="103" spans="1:11" ht="15" customHeight="1" x14ac:dyDescent="0.25">
      <c r="A103" s="208"/>
      <c r="B103" s="641"/>
      <c r="C103" s="641"/>
      <c r="D103" s="641"/>
      <c r="E103" s="641"/>
      <c r="F103" s="641"/>
      <c r="G103" s="247"/>
      <c r="H103" s="248"/>
      <c r="I103" s="222"/>
      <c r="J103" s="222"/>
      <c r="K103" s="266"/>
    </row>
    <row r="104" spans="1:11" ht="15" customHeight="1" x14ac:dyDescent="0.25">
      <c r="A104" s="208"/>
      <c r="B104" s="641"/>
      <c r="C104" s="641"/>
      <c r="D104" s="641"/>
      <c r="E104" s="641"/>
      <c r="F104" s="641"/>
      <c r="G104" s="247"/>
      <c r="H104" s="248"/>
      <c r="I104" s="222"/>
      <c r="J104" s="222"/>
      <c r="K104" s="266"/>
    </row>
    <row r="105" spans="1:11" ht="15" customHeight="1" x14ac:dyDescent="0.25">
      <c r="A105" s="208"/>
      <c r="B105" s="641"/>
      <c r="C105" s="641"/>
      <c r="D105" s="641"/>
      <c r="E105" s="641"/>
      <c r="F105" s="641"/>
      <c r="G105" s="247"/>
      <c r="H105" s="248"/>
      <c r="I105" s="222"/>
      <c r="J105" s="222"/>
      <c r="K105" s="266"/>
    </row>
    <row r="106" spans="1:11" ht="15" customHeight="1" x14ac:dyDescent="0.25">
      <c r="A106" s="208"/>
      <c r="B106" s="641"/>
      <c r="C106" s="641"/>
      <c r="D106" s="641"/>
      <c r="E106" s="641"/>
      <c r="F106" s="641"/>
      <c r="G106" s="247"/>
      <c r="H106" s="248"/>
      <c r="I106" s="222"/>
      <c r="J106" s="222"/>
      <c r="K106" s="266"/>
    </row>
    <row r="107" spans="1:11" ht="15" customHeight="1" x14ac:dyDescent="0.25">
      <c r="A107" s="208"/>
      <c r="B107" s="641"/>
      <c r="C107" s="641"/>
      <c r="D107" s="641"/>
      <c r="E107" s="641"/>
      <c r="F107" s="641"/>
      <c r="G107" s="247"/>
      <c r="H107" s="248"/>
      <c r="I107" s="222"/>
      <c r="J107" s="222"/>
      <c r="K107" s="266"/>
    </row>
    <row r="108" spans="1:11" ht="15" customHeight="1" x14ac:dyDescent="0.25">
      <c r="A108" s="208"/>
      <c r="B108" s="641"/>
      <c r="C108" s="641"/>
      <c r="D108" s="641"/>
      <c r="E108" s="641"/>
      <c r="F108" s="641"/>
      <c r="G108" s="247"/>
      <c r="H108" s="248"/>
      <c r="I108" s="222"/>
      <c r="J108" s="222"/>
      <c r="K108" s="266"/>
    </row>
    <row r="109" spans="1:11" x14ac:dyDescent="0.25">
      <c r="A109" s="208"/>
      <c r="B109" s="641"/>
      <c r="C109" s="641"/>
      <c r="D109" s="641"/>
      <c r="E109" s="641"/>
      <c r="F109" s="641"/>
      <c r="G109" s="247"/>
      <c r="H109" s="248"/>
      <c r="I109" s="222"/>
      <c r="J109" s="222"/>
      <c r="K109" s="266"/>
    </row>
    <row r="110" spans="1:11" ht="15" customHeight="1" x14ac:dyDescent="0.25">
      <c r="A110" s="208"/>
      <c r="B110" s="641"/>
      <c r="C110" s="641"/>
      <c r="D110" s="641"/>
      <c r="E110" s="641"/>
      <c r="F110" s="641"/>
      <c r="G110" s="247"/>
      <c r="H110" s="248"/>
      <c r="I110" s="222"/>
      <c r="J110" s="222"/>
      <c r="K110" s="266"/>
    </row>
    <row r="111" spans="1:11" ht="15" customHeight="1" x14ac:dyDescent="0.25">
      <c r="A111" s="208"/>
      <c r="B111" s="638"/>
      <c r="C111" s="639"/>
      <c r="D111" s="639"/>
      <c r="E111" s="639"/>
      <c r="F111" s="640"/>
      <c r="G111" s="247"/>
      <c r="H111" s="248"/>
      <c r="I111" s="265"/>
      <c r="J111" s="265"/>
      <c r="K111" s="266"/>
    </row>
    <row r="112" spans="1:11" ht="15" customHeight="1" x14ac:dyDescent="0.25">
      <c r="A112" s="208"/>
      <c r="B112" s="638"/>
      <c r="C112" s="639"/>
      <c r="D112" s="639"/>
      <c r="E112" s="639"/>
      <c r="F112" s="640"/>
      <c r="G112" s="247"/>
      <c r="H112" s="248"/>
      <c r="I112" s="265"/>
      <c r="J112" s="265"/>
      <c r="K112" s="266"/>
    </row>
    <row r="113" spans="1:11" ht="15" customHeight="1" x14ac:dyDescent="0.25">
      <c r="A113" s="208"/>
      <c r="B113" s="638"/>
      <c r="C113" s="639"/>
      <c r="D113" s="639"/>
      <c r="E113" s="639"/>
      <c r="F113" s="640"/>
      <c r="G113" s="247"/>
      <c r="H113" s="248"/>
      <c r="I113" s="265"/>
      <c r="J113" s="265"/>
      <c r="K113" s="266"/>
    </row>
    <row r="114" spans="1:11" ht="15" customHeight="1" x14ac:dyDescent="0.25">
      <c r="A114" s="208"/>
      <c r="B114" s="638"/>
      <c r="C114" s="639"/>
      <c r="D114" s="639"/>
      <c r="E114" s="639"/>
      <c r="F114" s="640"/>
      <c r="G114" s="247"/>
      <c r="H114" s="248"/>
      <c r="I114" s="265"/>
      <c r="J114" s="265"/>
      <c r="K114" s="266"/>
    </row>
    <row r="115" spans="1:11" x14ac:dyDescent="0.25">
      <c r="A115" s="208"/>
      <c r="B115" s="638"/>
      <c r="C115" s="639"/>
      <c r="D115" s="639"/>
      <c r="E115" s="639"/>
      <c r="F115" s="640"/>
      <c r="G115" s="247"/>
      <c r="H115" s="248"/>
      <c r="I115" s="628"/>
      <c r="J115" s="629"/>
      <c r="K115" s="630"/>
    </row>
    <row r="116" spans="1:11" x14ac:dyDescent="0.25">
      <c r="A116" s="208"/>
      <c r="B116" s="641"/>
      <c r="C116" s="641"/>
      <c r="D116" s="641"/>
      <c r="E116" s="641"/>
      <c r="F116" s="641"/>
      <c r="G116" s="247"/>
      <c r="H116" s="248"/>
      <c r="I116" s="629"/>
      <c r="J116" s="629"/>
      <c r="K116" s="630"/>
    </row>
    <row r="117" spans="1:11" ht="15.75" x14ac:dyDescent="0.25">
      <c r="A117" s="208"/>
      <c r="B117" s="627"/>
      <c r="C117" s="627"/>
      <c r="D117" s="627"/>
      <c r="E117" s="627"/>
      <c r="F117" s="627"/>
      <c r="G117" s="249"/>
      <c r="H117" s="249"/>
      <c r="I117" s="262"/>
      <c r="J117" s="262"/>
      <c r="K117" s="263"/>
    </row>
    <row r="118" spans="1:11" ht="15.75" x14ac:dyDescent="0.25">
      <c r="A118" s="208"/>
      <c r="B118" s="627"/>
      <c r="C118" s="627"/>
      <c r="D118" s="627"/>
      <c r="E118" s="627"/>
      <c r="F118" s="627"/>
      <c r="G118" s="249"/>
      <c r="H118" s="249"/>
      <c r="I118" s="262"/>
      <c r="J118" s="262"/>
      <c r="K118" s="263"/>
    </row>
    <row r="119" spans="1:11" ht="15.75" x14ac:dyDescent="0.25">
      <c r="A119" s="208"/>
      <c r="B119" s="627"/>
      <c r="C119" s="627"/>
      <c r="D119" s="627"/>
      <c r="E119" s="627"/>
      <c r="F119" s="627"/>
      <c r="G119" s="249"/>
      <c r="H119" s="249"/>
      <c r="I119" s="262"/>
      <c r="J119" s="262"/>
      <c r="K119" s="263"/>
    </row>
    <row r="120" spans="1:11" ht="15.75" x14ac:dyDescent="0.25">
      <c r="A120" s="208"/>
      <c r="B120" s="627"/>
      <c r="C120" s="627"/>
      <c r="D120" s="627"/>
      <c r="E120" s="627"/>
      <c r="F120" s="627"/>
      <c r="G120" s="249"/>
      <c r="H120" s="249"/>
      <c r="I120" s="262"/>
      <c r="J120" s="262"/>
      <c r="K120" s="263"/>
    </row>
    <row r="121" spans="1:11" ht="15.75" x14ac:dyDescent="0.25">
      <c r="A121" s="208"/>
      <c r="B121" s="627"/>
      <c r="C121" s="627"/>
      <c r="D121" s="627"/>
      <c r="E121" s="627"/>
      <c r="F121" s="627"/>
      <c r="G121" s="249"/>
      <c r="H121" s="249"/>
      <c r="I121" s="262"/>
      <c r="J121" s="262"/>
      <c r="K121" s="263"/>
    </row>
    <row r="122" spans="1:11" ht="15.75" x14ac:dyDescent="0.25">
      <c r="A122" s="208"/>
      <c r="B122" s="627"/>
      <c r="C122" s="627"/>
      <c r="D122" s="627"/>
      <c r="E122" s="627"/>
      <c r="F122" s="627"/>
      <c r="G122" s="249"/>
      <c r="H122" s="249"/>
      <c r="I122" s="262"/>
      <c r="J122" s="262"/>
      <c r="K122" s="263"/>
    </row>
    <row r="123" spans="1:11" ht="15.75" x14ac:dyDescent="0.25">
      <c r="A123" s="208"/>
      <c r="B123" s="627"/>
      <c r="C123" s="627"/>
      <c r="D123" s="627"/>
      <c r="E123" s="627"/>
      <c r="F123" s="627"/>
      <c r="G123" s="249"/>
      <c r="H123" s="249"/>
      <c r="I123" s="262"/>
      <c r="J123" s="262"/>
      <c r="K123" s="263"/>
    </row>
    <row r="124" spans="1:11" ht="15.75" x14ac:dyDescent="0.25">
      <c r="A124" s="208"/>
      <c r="B124" s="627"/>
      <c r="C124" s="627"/>
      <c r="D124" s="627"/>
      <c r="E124" s="627"/>
      <c r="F124" s="627"/>
      <c r="G124" s="249"/>
      <c r="H124" s="249"/>
      <c r="I124" s="262"/>
      <c r="J124" s="262"/>
      <c r="K124" s="263"/>
    </row>
    <row r="125" spans="1:11" ht="15.75" x14ac:dyDescent="0.25">
      <c r="A125" s="208"/>
      <c r="B125" s="627"/>
      <c r="C125" s="627"/>
      <c r="D125" s="627"/>
      <c r="E125" s="627"/>
      <c r="F125" s="627"/>
      <c r="G125" s="249"/>
      <c r="H125" s="249"/>
      <c r="I125" s="262"/>
      <c r="J125" s="262"/>
      <c r="K125" s="263"/>
    </row>
    <row r="126" spans="1:11" ht="15.75" x14ac:dyDescent="0.25">
      <c r="A126" s="208"/>
      <c r="B126" s="627"/>
      <c r="C126" s="627"/>
      <c r="D126" s="627"/>
      <c r="E126" s="627"/>
      <c r="F126" s="627"/>
      <c r="G126" s="249"/>
      <c r="H126" s="249"/>
      <c r="I126" s="262"/>
      <c r="J126" s="262"/>
      <c r="K126" s="263"/>
    </row>
    <row r="127" spans="1:11" ht="15.75" x14ac:dyDescent="0.25">
      <c r="A127" s="208"/>
      <c r="B127" s="627"/>
      <c r="C127" s="627"/>
      <c r="D127" s="627"/>
      <c r="E127" s="627"/>
      <c r="F127" s="627"/>
      <c r="G127" s="249"/>
      <c r="H127" s="249"/>
      <c r="I127" s="262"/>
      <c r="J127" s="262"/>
      <c r="K127" s="263"/>
    </row>
    <row r="128" spans="1:11" ht="15.75" x14ac:dyDescent="0.25">
      <c r="A128" s="208"/>
      <c r="B128" s="627"/>
      <c r="C128" s="627"/>
      <c r="D128" s="627"/>
      <c r="E128" s="627"/>
      <c r="F128" s="627"/>
      <c r="G128" s="249"/>
      <c r="H128" s="249"/>
      <c r="I128" s="262"/>
      <c r="J128" s="262"/>
      <c r="K128" s="263"/>
    </row>
    <row r="129" spans="1:11" ht="15.75" x14ac:dyDescent="0.25">
      <c r="A129" s="208"/>
      <c r="B129" s="627"/>
      <c r="C129" s="627"/>
      <c r="D129" s="627"/>
      <c r="E129" s="627"/>
      <c r="F129" s="627"/>
      <c r="G129" s="249"/>
      <c r="H129" s="249"/>
      <c r="I129" s="262"/>
      <c r="J129" s="262"/>
      <c r="K129" s="263"/>
    </row>
    <row r="130" spans="1:11" ht="15.75" x14ac:dyDescent="0.25">
      <c r="A130" s="208"/>
      <c r="B130" s="627"/>
      <c r="C130" s="627"/>
      <c r="D130" s="627"/>
      <c r="E130" s="627"/>
      <c r="F130" s="627"/>
      <c r="G130" s="249"/>
      <c r="H130" s="249"/>
      <c r="I130" s="262"/>
      <c r="J130" s="262"/>
      <c r="K130" s="263"/>
    </row>
    <row r="131" spans="1:11" ht="15.75" x14ac:dyDescent="0.25">
      <c r="A131" s="208"/>
      <c r="B131" s="627"/>
      <c r="C131" s="627"/>
      <c r="D131" s="627"/>
      <c r="E131" s="627"/>
      <c r="F131" s="627"/>
      <c r="G131" s="249"/>
      <c r="H131" s="249"/>
      <c r="I131" s="262"/>
      <c r="J131" s="262"/>
      <c r="K131" s="263"/>
    </row>
    <row r="132" spans="1:11" ht="15.75" x14ac:dyDescent="0.25">
      <c r="A132" s="208"/>
      <c r="B132" s="627"/>
      <c r="C132" s="627"/>
      <c r="D132" s="627"/>
      <c r="E132" s="627"/>
      <c r="F132" s="627"/>
      <c r="G132" s="249"/>
      <c r="H132" s="249"/>
      <c r="I132" s="262"/>
      <c r="J132" s="262"/>
      <c r="K132" s="263"/>
    </row>
    <row r="133" spans="1:11" ht="15.75" x14ac:dyDescent="0.25">
      <c r="A133" s="208"/>
      <c r="B133" s="627"/>
      <c r="C133" s="627"/>
      <c r="D133" s="627"/>
      <c r="E133" s="627"/>
      <c r="F133" s="627"/>
      <c r="G133" s="249"/>
      <c r="H133" s="249"/>
      <c r="I133" s="262"/>
      <c r="J133" s="262"/>
      <c r="K133" s="263"/>
    </row>
    <row r="134" spans="1:11" ht="15.75" x14ac:dyDescent="0.25">
      <c r="A134" s="208"/>
      <c r="B134" s="627"/>
      <c r="C134" s="627"/>
      <c r="D134" s="627"/>
      <c r="E134" s="627"/>
      <c r="F134" s="627"/>
      <c r="G134" s="249"/>
      <c r="H134" s="249"/>
      <c r="I134" s="262"/>
      <c r="J134" s="262"/>
      <c r="K134" s="263"/>
    </row>
    <row r="135" spans="1:11" ht="15.75" x14ac:dyDescent="0.25">
      <c r="A135" s="208"/>
      <c r="B135" s="627"/>
      <c r="C135" s="627"/>
      <c r="D135" s="627"/>
      <c r="E135" s="627"/>
      <c r="F135" s="627"/>
      <c r="G135" s="249"/>
      <c r="H135" s="249"/>
      <c r="I135" s="262"/>
      <c r="J135" s="262"/>
      <c r="K135" s="263"/>
    </row>
    <row r="136" spans="1:11" ht="15.75" x14ac:dyDescent="0.25">
      <c r="A136" s="208"/>
      <c r="B136" s="627"/>
      <c r="C136" s="627"/>
      <c r="D136" s="627"/>
      <c r="E136" s="627"/>
      <c r="F136" s="627"/>
      <c r="G136" s="249"/>
      <c r="H136" s="249"/>
      <c r="I136" s="262"/>
      <c r="J136" s="262"/>
      <c r="K136" s="263"/>
    </row>
    <row r="137" spans="1:11" ht="15.75" x14ac:dyDescent="0.25">
      <c r="A137" s="208"/>
      <c r="B137" s="627"/>
      <c r="C137" s="627"/>
      <c r="D137" s="627"/>
      <c r="E137" s="627"/>
      <c r="F137" s="627"/>
      <c r="G137" s="249"/>
      <c r="H137" s="249"/>
      <c r="I137" s="262"/>
      <c r="J137" s="262"/>
      <c r="K137" s="263"/>
    </row>
    <row r="138" spans="1:11" ht="15.75" x14ac:dyDescent="0.25">
      <c r="A138" s="208"/>
      <c r="B138" s="627"/>
      <c r="C138" s="627"/>
      <c r="D138" s="627"/>
      <c r="E138" s="627"/>
      <c r="F138" s="627"/>
      <c r="G138" s="249"/>
      <c r="H138" s="249"/>
      <c r="I138" s="262"/>
      <c r="J138" s="262"/>
      <c r="K138" s="263"/>
    </row>
    <row r="139" spans="1:11" ht="15.75" x14ac:dyDescent="0.25">
      <c r="A139" s="208"/>
      <c r="B139" s="627"/>
      <c r="C139" s="627"/>
      <c r="D139" s="627"/>
      <c r="E139" s="627"/>
      <c r="F139" s="627"/>
      <c r="G139" s="249"/>
      <c r="H139" s="249"/>
      <c r="I139" s="262"/>
      <c r="J139" s="262"/>
      <c r="K139" s="263"/>
    </row>
    <row r="140" spans="1:11" ht="15.75" x14ac:dyDescent="0.25">
      <c r="A140" s="208"/>
      <c r="B140" s="627"/>
      <c r="C140" s="627"/>
      <c r="D140" s="627"/>
      <c r="E140" s="627"/>
      <c r="F140" s="627"/>
      <c r="G140" s="249"/>
      <c r="H140" s="249"/>
      <c r="I140" s="262"/>
      <c r="J140" s="262"/>
      <c r="K140" s="263"/>
    </row>
    <row r="141" spans="1:11" ht="15.75" x14ac:dyDescent="0.25">
      <c r="A141" s="208"/>
      <c r="B141" s="627"/>
      <c r="C141" s="627"/>
      <c r="D141" s="627"/>
      <c r="E141" s="627"/>
      <c r="F141" s="627"/>
      <c r="G141" s="249"/>
      <c r="H141" s="249"/>
      <c r="I141" s="262"/>
      <c r="J141" s="262"/>
      <c r="K141" s="263"/>
    </row>
    <row r="142" spans="1:11" ht="15.75" x14ac:dyDescent="0.25">
      <c r="A142" s="208"/>
      <c r="B142" s="627"/>
      <c r="C142" s="627"/>
      <c r="D142" s="627"/>
      <c r="E142" s="627"/>
      <c r="F142" s="627"/>
      <c r="G142" s="249"/>
      <c r="H142" s="249"/>
      <c r="I142" s="262"/>
      <c r="J142" s="262"/>
      <c r="K142" s="263"/>
    </row>
    <row r="143" spans="1:11" ht="15.75" x14ac:dyDescent="0.25">
      <c r="A143" s="208"/>
      <c r="B143" s="627"/>
      <c r="C143" s="627"/>
      <c r="D143" s="627"/>
      <c r="E143" s="627"/>
      <c r="F143" s="627"/>
      <c r="G143" s="249"/>
      <c r="H143" s="249"/>
      <c r="I143" s="262"/>
      <c r="J143" s="262"/>
      <c r="K143" s="263"/>
    </row>
    <row r="144" spans="1:11" ht="15.75" x14ac:dyDescent="0.25">
      <c r="A144" s="208"/>
      <c r="B144" s="627"/>
      <c r="C144" s="627"/>
      <c r="D144" s="627"/>
      <c r="E144" s="627"/>
      <c r="F144" s="627"/>
      <c r="G144" s="249"/>
      <c r="H144" s="249"/>
      <c r="I144" s="262"/>
      <c r="J144" s="262"/>
      <c r="K144" s="263"/>
    </row>
    <row r="145" spans="1:11" ht="15.75" x14ac:dyDescent="0.25">
      <c r="A145" s="208"/>
      <c r="B145" s="627"/>
      <c r="C145" s="627"/>
      <c r="D145" s="627"/>
      <c r="E145" s="627"/>
      <c r="F145" s="627"/>
      <c r="G145" s="249"/>
      <c r="H145" s="249"/>
      <c r="I145" s="262"/>
      <c r="J145" s="262"/>
      <c r="K145" s="263"/>
    </row>
    <row r="146" spans="1:11" ht="15.75" x14ac:dyDescent="0.25">
      <c r="A146" s="208"/>
      <c r="B146" s="627"/>
      <c r="C146" s="627"/>
      <c r="D146" s="627"/>
      <c r="E146" s="627"/>
      <c r="F146" s="627"/>
      <c r="G146" s="249"/>
      <c r="H146" s="249"/>
      <c r="I146" s="262"/>
      <c r="J146" s="262"/>
      <c r="K146" s="263"/>
    </row>
    <row r="147" spans="1:11" ht="15.75" x14ac:dyDescent="0.25">
      <c r="A147" s="208"/>
      <c r="B147" s="627"/>
      <c r="C147" s="627"/>
      <c r="D147" s="627"/>
      <c r="E147" s="627"/>
      <c r="F147" s="627"/>
      <c r="G147" s="249"/>
      <c r="H147" s="249"/>
      <c r="I147" s="262"/>
      <c r="J147" s="262"/>
      <c r="K147" s="263"/>
    </row>
    <row r="148" spans="1:11" ht="15.75" x14ac:dyDescent="0.25">
      <c r="A148" s="208"/>
      <c r="B148" s="627"/>
      <c r="C148" s="627"/>
      <c r="D148" s="627"/>
      <c r="E148" s="627"/>
      <c r="F148" s="627"/>
      <c r="G148" s="249"/>
      <c r="H148" s="249"/>
      <c r="I148" s="262"/>
      <c r="J148" s="262"/>
      <c r="K148" s="263"/>
    </row>
    <row r="149" spans="1:11" ht="15.75" x14ac:dyDescent="0.25">
      <c r="A149" s="208"/>
      <c r="B149" s="627"/>
      <c r="C149" s="627"/>
      <c r="D149" s="627"/>
      <c r="E149" s="627"/>
      <c r="F149" s="627"/>
      <c r="G149" s="249"/>
      <c r="H149" s="249"/>
      <c r="I149" s="262"/>
      <c r="J149" s="262"/>
      <c r="K149" s="263"/>
    </row>
    <row r="150" spans="1:11" ht="15.75" x14ac:dyDescent="0.25">
      <c r="A150" s="208"/>
      <c r="B150" s="627"/>
      <c r="C150" s="627"/>
      <c r="D150" s="627"/>
      <c r="E150" s="627"/>
      <c r="F150" s="627"/>
      <c r="G150" s="249"/>
      <c r="H150" s="249"/>
      <c r="I150" s="262"/>
      <c r="J150" s="262"/>
      <c r="K150" s="263"/>
    </row>
    <row r="151" spans="1:11" ht="15.75" x14ac:dyDescent="0.25">
      <c r="A151" s="208"/>
      <c r="B151" s="627"/>
      <c r="C151" s="627"/>
      <c r="D151" s="627"/>
      <c r="E151" s="627"/>
      <c r="F151" s="627"/>
      <c r="G151" s="249"/>
      <c r="H151" s="249"/>
      <c r="I151" s="262"/>
      <c r="J151" s="262"/>
      <c r="K151" s="263"/>
    </row>
    <row r="152" spans="1:11" ht="15.75" x14ac:dyDescent="0.25">
      <c r="A152" s="208"/>
      <c r="B152" s="627"/>
      <c r="C152" s="627"/>
      <c r="D152" s="627"/>
      <c r="E152" s="627"/>
      <c r="F152" s="627"/>
      <c r="G152" s="249"/>
      <c r="H152" s="249"/>
      <c r="I152" s="262"/>
      <c r="J152" s="262"/>
      <c r="K152" s="263"/>
    </row>
    <row r="153" spans="1:11" ht="15.75" x14ac:dyDescent="0.25">
      <c r="A153" s="208"/>
      <c r="B153" s="627"/>
      <c r="C153" s="627"/>
      <c r="D153" s="627"/>
      <c r="E153" s="627"/>
      <c r="F153" s="627"/>
      <c r="G153" s="249"/>
      <c r="H153" s="249"/>
      <c r="I153" s="262"/>
      <c r="J153" s="262"/>
      <c r="K153" s="263"/>
    </row>
    <row r="154" spans="1:11" ht="15.75" x14ac:dyDescent="0.25">
      <c r="A154" s="208"/>
      <c r="B154" s="627"/>
      <c r="C154" s="627"/>
      <c r="D154" s="627"/>
      <c r="E154" s="627"/>
      <c r="F154" s="627"/>
      <c r="G154" s="249"/>
      <c r="H154" s="249"/>
      <c r="I154" s="262"/>
      <c r="J154" s="262"/>
      <c r="K154" s="263"/>
    </row>
    <row r="155" spans="1:11" ht="15.75" x14ac:dyDescent="0.25">
      <c r="A155" s="208"/>
      <c r="B155" s="627"/>
      <c r="C155" s="627"/>
      <c r="D155" s="627"/>
      <c r="E155" s="627"/>
      <c r="F155" s="627"/>
      <c r="G155" s="249"/>
      <c r="H155" s="249"/>
      <c r="I155" s="262"/>
      <c r="J155" s="262"/>
      <c r="K155" s="263"/>
    </row>
    <row r="156" spans="1:11" ht="15.75" x14ac:dyDescent="0.25">
      <c r="A156" s="208"/>
      <c r="B156" s="627"/>
      <c r="C156" s="627"/>
      <c r="D156" s="627"/>
      <c r="E156" s="627"/>
      <c r="F156" s="627"/>
      <c r="G156" s="249"/>
      <c r="H156" s="249"/>
      <c r="I156" s="262"/>
      <c r="J156" s="262"/>
      <c r="K156" s="263"/>
    </row>
    <row r="157" spans="1:11" ht="15.75" x14ac:dyDescent="0.25">
      <c r="A157" s="208"/>
      <c r="B157" s="627"/>
      <c r="C157" s="627"/>
      <c r="D157" s="627"/>
      <c r="E157" s="627"/>
      <c r="F157" s="627"/>
      <c r="G157" s="249"/>
      <c r="H157" s="249"/>
      <c r="I157" s="262"/>
      <c r="J157" s="262"/>
      <c r="K157" s="263"/>
    </row>
    <row r="158" spans="1:11" ht="15.75" x14ac:dyDescent="0.25">
      <c r="A158" s="208"/>
      <c r="B158" s="627"/>
      <c r="C158" s="627"/>
      <c r="D158" s="627"/>
      <c r="E158" s="627"/>
      <c r="F158" s="627"/>
      <c r="G158" s="249"/>
      <c r="H158" s="249"/>
      <c r="I158" s="262"/>
      <c r="J158" s="262"/>
      <c r="K158" s="263"/>
    </row>
    <row r="159" spans="1:11" ht="15.75" x14ac:dyDescent="0.25">
      <c r="A159" s="208"/>
      <c r="B159" s="627"/>
      <c r="C159" s="627"/>
      <c r="D159" s="627"/>
      <c r="E159" s="627"/>
      <c r="F159" s="627"/>
      <c r="G159" s="249"/>
      <c r="H159" s="249"/>
      <c r="I159" s="262"/>
      <c r="J159" s="262"/>
      <c r="K159" s="263"/>
    </row>
    <row r="160" spans="1:11" ht="15.75" x14ac:dyDescent="0.25">
      <c r="A160" s="208"/>
      <c r="B160" s="627"/>
      <c r="C160" s="627"/>
      <c r="D160" s="627"/>
      <c r="E160" s="627"/>
      <c r="F160" s="627"/>
      <c r="G160" s="249"/>
      <c r="H160" s="249"/>
      <c r="I160" s="262"/>
      <c r="J160" s="262"/>
      <c r="K160" s="263"/>
    </row>
    <row r="161" spans="1:11" ht="15.75" x14ac:dyDescent="0.25">
      <c r="A161" s="208"/>
      <c r="B161" s="627"/>
      <c r="C161" s="627"/>
      <c r="D161" s="627"/>
      <c r="E161" s="627"/>
      <c r="F161" s="627"/>
      <c r="G161" s="249"/>
      <c r="H161" s="249"/>
      <c r="I161" s="262"/>
      <c r="J161" s="262"/>
      <c r="K161" s="263"/>
    </row>
    <row r="162" spans="1:11" ht="15.75" x14ac:dyDescent="0.25">
      <c r="A162" s="208"/>
      <c r="B162" s="627"/>
      <c r="C162" s="627"/>
      <c r="D162" s="627"/>
      <c r="E162" s="627"/>
      <c r="F162" s="627"/>
      <c r="G162" s="249"/>
      <c r="H162" s="249"/>
      <c r="I162" s="262"/>
      <c r="J162" s="262"/>
      <c r="K162" s="263"/>
    </row>
    <row r="163" spans="1:11" ht="15.75" x14ac:dyDescent="0.25">
      <c r="A163" s="208"/>
      <c r="B163" s="627"/>
      <c r="C163" s="627"/>
      <c r="D163" s="627"/>
      <c r="E163" s="627"/>
      <c r="F163" s="627"/>
      <c r="G163" s="249"/>
      <c r="H163" s="249"/>
      <c r="I163" s="262"/>
      <c r="J163" s="262"/>
      <c r="K163" s="263"/>
    </row>
    <row r="164" spans="1:11" ht="15.75" x14ac:dyDescent="0.25">
      <c r="A164" s="208"/>
      <c r="B164" s="627"/>
      <c r="C164" s="627"/>
      <c r="D164" s="627"/>
      <c r="E164" s="627"/>
      <c r="F164" s="627"/>
      <c r="G164" s="249"/>
      <c r="H164" s="249"/>
      <c r="I164" s="262"/>
      <c r="J164" s="262"/>
      <c r="K164" s="263"/>
    </row>
    <row r="165" spans="1:11" ht="15.75" x14ac:dyDescent="0.25">
      <c r="A165" s="208"/>
      <c r="B165" s="627"/>
      <c r="C165" s="627"/>
      <c r="D165" s="627"/>
      <c r="E165" s="627"/>
      <c r="F165" s="627"/>
      <c r="G165" s="249"/>
      <c r="H165" s="249"/>
      <c r="I165" s="262"/>
      <c r="J165" s="262"/>
      <c r="K165" s="263"/>
    </row>
    <row r="166" spans="1:11" ht="15.75" x14ac:dyDescent="0.25">
      <c r="A166" s="208"/>
      <c r="B166" s="627"/>
      <c r="C166" s="627"/>
      <c r="D166" s="627"/>
      <c r="E166" s="627"/>
      <c r="F166" s="627"/>
      <c r="G166" s="249"/>
      <c r="H166" s="249"/>
      <c r="I166" s="262"/>
      <c r="J166" s="262"/>
      <c r="K166" s="263"/>
    </row>
    <row r="167" spans="1:11" ht="15.75" x14ac:dyDescent="0.25">
      <c r="A167" s="208"/>
      <c r="B167" s="627"/>
      <c r="C167" s="627"/>
      <c r="D167" s="627"/>
      <c r="E167" s="627"/>
      <c r="F167" s="627"/>
      <c r="G167" s="249"/>
      <c r="H167" s="249"/>
      <c r="I167" s="262"/>
      <c r="J167" s="262"/>
      <c r="K167" s="263"/>
    </row>
    <row r="168" spans="1:11" ht="15.75" x14ac:dyDescent="0.25">
      <c r="A168" s="208"/>
      <c r="B168" s="627"/>
      <c r="C168" s="627"/>
      <c r="D168" s="627"/>
      <c r="E168" s="627"/>
      <c r="F168" s="627"/>
      <c r="G168" s="249"/>
      <c r="H168" s="249"/>
      <c r="I168" s="262"/>
      <c r="J168" s="262"/>
      <c r="K168" s="263"/>
    </row>
    <row r="169" spans="1:11" ht="15.75" x14ac:dyDescent="0.25">
      <c r="A169" s="208"/>
      <c r="B169" s="627"/>
      <c r="C169" s="627"/>
      <c r="D169" s="627"/>
      <c r="E169" s="627"/>
      <c r="F169" s="627"/>
      <c r="G169" s="249"/>
      <c r="H169" s="249"/>
      <c r="I169" s="262"/>
      <c r="J169" s="262"/>
      <c r="K169" s="263"/>
    </row>
    <row r="170" spans="1:11" ht="15.75" x14ac:dyDescent="0.25">
      <c r="A170" s="208"/>
      <c r="B170" s="627"/>
      <c r="C170" s="627"/>
      <c r="D170" s="627"/>
      <c r="E170" s="627"/>
      <c r="F170" s="627"/>
      <c r="G170" s="249"/>
      <c r="H170" s="249"/>
      <c r="I170" s="262"/>
      <c r="J170" s="262"/>
      <c r="K170" s="263"/>
    </row>
    <row r="171" spans="1:11" ht="15.75" x14ac:dyDescent="0.25">
      <c r="A171" s="208"/>
      <c r="B171" s="627"/>
      <c r="C171" s="627"/>
      <c r="D171" s="627"/>
      <c r="E171" s="627"/>
      <c r="F171" s="627"/>
      <c r="G171" s="249"/>
      <c r="H171" s="249"/>
      <c r="I171" s="262"/>
      <c r="J171" s="262"/>
      <c r="K171" s="263"/>
    </row>
    <row r="172" spans="1:11" ht="15.75" x14ac:dyDescent="0.25">
      <c r="A172" s="208"/>
      <c r="B172" s="627"/>
      <c r="C172" s="627"/>
      <c r="D172" s="627"/>
      <c r="E172" s="627"/>
      <c r="F172" s="627"/>
      <c r="G172" s="249"/>
      <c r="H172" s="249"/>
      <c r="I172" s="262"/>
      <c r="J172" s="262"/>
      <c r="K172" s="263"/>
    </row>
    <row r="173" spans="1:11" ht="15.75" x14ac:dyDescent="0.25">
      <c r="A173" s="208"/>
      <c r="B173" s="627"/>
      <c r="C173" s="627"/>
      <c r="D173" s="627"/>
      <c r="E173" s="627"/>
      <c r="F173" s="627"/>
      <c r="G173" s="249"/>
      <c r="H173" s="249"/>
      <c r="I173" s="262"/>
      <c r="J173" s="262"/>
      <c r="K173" s="263"/>
    </row>
    <row r="174" spans="1:11" ht="15.75" x14ac:dyDescent="0.25">
      <c r="A174" s="208"/>
      <c r="B174" s="627"/>
      <c r="C174" s="627"/>
      <c r="D174" s="627"/>
      <c r="E174" s="627"/>
      <c r="F174" s="627"/>
      <c r="G174" s="249"/>
      <c r="H174" s="249"/>
      <c r="I174" s="262"/>
      <c r="J174" s="262"/>
      <c r="K174" s="263"/>
    </row>
    <row r="175" spans="1:11" ht="15.75" x14ac:dyDescent="0.25">
      <c r="A175" s="208"/>
      <c r="B175" s="627"/>
      <c r="C175" s="627"/>
      <c r="D175" s="627"/>
      <c r="E175" s="627"/>
      <c r="F175" s="627"/>
      <c r="G175" s="249"/>
      <c r="H175" s="249"/>
      <c r="I175" s="262"/>
      <c r="J175" s="262"/>
      <c r="K175" s="263"/>
    </row>
    <row r="176" spans="1:11" ht="15.75" x14ac:dyDescent="0.25">
      <c r="A176" s="208"/>
      <c r="B176" s="627"/>
      <c r="C176" s="627"/>
      <c r="D176" s="627"/>
      <c r="E176" s="627"/>
      <c r="F176" s="627"/>
      <c r="G176" s="249"/>
      <c r="H176" s="249"/>
      <c r="I176" s="262"/>
      <c r="J176" s="262"/>
      <c r="K176" s="263"/>
    </row>
    <row r="177" spans="1:11" ht="15.75" x14ac:dyDescent="0.25">
      <c r="A177" s="208"/>
      <c r="B177" s="627"/>
      <c r="C177" s="627"/>
      <c r="D177" s="627"/>
      <c r="E177" s="627"/>
      <c r="F177" s="627"/>
      <c r="G177" s="249"/>
      <c r="H177" s="249"/>
      <c r="I177" s="262"/>
      <c r="J177" s="262"/>
      <c r="K177" s="263"/>
    </row>
    <row r="178" spans="1:11" ht="15.75" x14ac:dyDescent="0.25">
      <c r="A178" s="208"/>
      <c r="B178" s="627"/>
      <c r="C178" s="627"/>
      <c r="D178" s="627"/>
      <c r="E178" s="627"/>
      <c r="F178" s="627"/>
      <c r="G178" s="249"/>
      <c r="H178" s="249"/>
      <c r="I178" s="262"/>
      <c r="J178" s="262"/>
      <c r="K178" s="263"/>
    </row>
    <row r="179" spans="1:11" ht="15.75" x14ac:dyDescent="0.25">
      <c r="A179" s="208"/>
      <c r="B179" s="627"/>
      <c r="C179" s="627"/>
      <c r="D179" s="627"/>
      <c r="E179" s="627"/>
      <c r="F179" s="627"/>
      <c r="G179" s="249"/>
      <c r="H179" s="249"/>
      <c r="I179" s="262"/>
      <c r="J179" s="262"/>
      <c r="K179" s="263"/>
    </row>
    <row r="180" spans="1:11" ht="15.75" x14ac:dyDescent="0.25">
      <c r="A180" s="208"/>
      <c r="B180" s="627"/>
      <c r="C180" s="627"/>
      <c r="D180" s="627"/>
      <c r="E180" s="627"/>
      <c r="F180" s="627"/>
      <c r="G180" s="249"/>
      <c r="H180" s="249"/>
      <c r="I180" s="262"/>
      <c r="J180" s="262"/>
      <c r="K180" s="263"/>
    </row>
    <row r="181" spans="1:11" ht="15.75" x14ac:dyDescent="0.25">
      <c r="A181" s="208"/>
      <c r="B181" s="627"/>
      <c r="C181" s="627"/>
      <c r="D181" s="627"/>
      <c r="E181" s="627"/>
      <c r="F181" s="627"/>
      <c r="G181" s="249"/>
      <c r="H181" s="250"/>
      <c r="I181" s="230"/>
      <c r="J181" s="230"/>
      <c r="K181" s="231"/>
    </row>
    <row r="182" spans="1:11" ht="15.75" x14ac:dyDescent="0.25">
      <c r="A182" s="208"/>
      <c r="B182" s="627"/>
      <c r="C182" s="627"/>
      <c r="D182" s="627"/>
      <c r="E182" s="627"/>
      <c r="F182" s="627"/>
      <c r="G182" s="249"/>
      <c r="H182" s="250"/>
      <c r="I182" s="230"/>
      <c r="J182" s="230"/>
      <c r="K182" s="231"/>
    </row>
    <row r="183" spans="1:11" ht="15.75" x14ac:dyDescent="0.25">
      <c r="A183" s="208"/>
      <c r="B183" s="660"/>
      <c r="C183" s="660"/>
      <c r="D183" s="660"/>
      <c r="E183" s="660"/>
      <c r="F183" s="660"/>
      <c r="G183" s="250"/>
      <c r="H183" s="250"/>
      <c r="I183" s="230"/>
      <c r="J183" s="230"/>
      <c r="K183" s="231"/>
    </row>
    <row r="184" spans="1:11" ht="15.75" x14ac:dyDescent="0.25">
      <c r="A184" s="208"/>
      <c r="B184" s="627"/>
      <c r="C184" s="627"/>
      <c r="D184" s="627"/>
      <c r="E184" s="627"/>
      <c r="F184" s="627"/>
      <c r="G184" s="249"/>
      <c r="H184" s="249"/>
      <c r="I184" s="628"/>
      <c r="J184" s="629"/>
      <c r="K184" s="630"/>
    </row>
    <row r="185" spans="1:11" ht="15.75" x14ac:dyDescent="0.25">
      <c r="A185" s="208"/>
      <c r="B185" s="627"/>
      <c r="C185" s="627"/>
      <c r="D185" s="627"/>
      <c r="E185" s="627"/>
      <c r="F185" s="627"/>
      <c r="G185" s="249"/>
      <c r="H185" s="249"/>
      <c r="I185" s="635"/>
      <c r="J185" s="636"/>
      <c r="K185" s="637"/>
    </row>
    <row r="186" spans="1:11" ht="15.75" x14ac:dyDescent="0.25">
      <c r="A186" s="208"/>
      <c r="B186" s="627"/>
      <c r="C186" s="627"/>
      <c r="D186" s="627"/>
      <c r="E186" s="627"/>
      <c r="F186" s="627"/>
      <c r="G186" s="249"/>
      <c r="H186" s="249"/>
      <c r="I186" s="628"/>
      <c r="J186" s="629"/>
      <c r="K186" s="630"/>
    </row>
    <row r="187" spans="1:11" ht="15.75" x14ac:dyDescent="0.25">
      <c r="A187" s="208"/>
      <c r="B187" s="627"/>
      <c r="C187" s="627"/>
      <c r="D187" s="627"/>
      <c r="E187" s="627"/>
      <c r="F187" s="627"/>
      <c r="G187" s="249"/>
      <c r="H187" s="249"/>
      <c r="I187" s="628"/>
      <c r="J187" s="629"/>
      <c r="K187" s="630"/>
    </row>
    <row r="188" spans="1:11" ht="15.75" x14ac:dyDescent="0.25">
      <c r="A188" s="208"/>
      <c r="B188" s="627"/>
      <c r="C188" s="627"/>
      <c r="D188" s="627"/>
      <c r="E188" s="627"/>
      <c r="F188" s="627"/>
      <c r="G188" s="249"/>
      <c r="H188" s="249"/>
      <c r="I188" s="628"/>
      <c r="J188" s="629"/>
      <c r="K188" s="630"/>
    </row>
    <row r="189" spans="1:11" ht="15.75" x14ac:dyDescent="0.25">
      <c r="A189" s="208"/>
      <c r="B189" s="627"/>
      <c r="C189" s="627"/>
      <c r="D189" s="627"/>
      <c r="E189" s="627"/>
      <c r="F189" s="627"/>
      <c r="G189" s="249"/>
      <c r="H189" s="249"/>
      <c r="I189" s="628"/>
      <c r="J189" s="629"/>
      <c r="K189" s="630"/>
    </row>
    <row r="190" spans="1:11" ht="15.75" x14ac:dyDescent="0.25">
      <c r="A190" s="208"/>
      <c r="B190" s="627"/>
      <c r="C190" s="627"/>
      <c r="D190" s="627"/>
      <c r="E190" s="627"/>
      <c r="F190" s="627"/>
      <c r="G190" s="249"/>
      <c r="H190" s="249"/>
      <c r="I190" s="628"/>
      <c r="J190" s="629"/>
      <c r="K190" s="630"/>
    </row>
    <row r="191" spans="1:11" ht="15.75" x14ac:dyDescent="0.25">
      <c r="A191" s="208"/>
      <c r="B191" s="627"/>
      <c r="C191" s="627"/>
      <c r="D191" s="627"/>
      <c r="E191" s="627"/>
      <c r="F191" s="627"/>
      <c r="G191" s="249"/>
      <c r="H191" s="249"/>
      <c r="I191" s="628"/>
      <c r="J191" s="629"/>
      <c r="K191" s="630"/>
    </row>
    <row r="192" spans="1:11" ht="15.75" x14ac:dyDescent="0.25">
      <c r="A192" s="208"/>
      <c r="B192" s="627"/>
      <c r="C192" s="627"/>
      <c r="D192" s="627"/>
      <c r="E192" s="627"/>
      <c r="F192" s="627"/>
      <c r="G192" s="249"/>
      <c r="H192" s="249"/>
      <c r="I192" s="628"/>
      <c r="J192" s="629"/>
      <c r="K192" s="629"/>
    </row>
    <row r="193" spans="1:11" ht="15.75" x14ac:dyDescent="0.25">
      <c r="A193" s="208"/>
      <c r="B193" s="627"/>
      <c r="C193" s="627"/>
      <c r="D193" s="627"/>
      <c r="E193" s="627"/>
      <c r="F193" s="627"/>
      <c r="G193" s="249"/>
      <c r="H193" s="249"/>
      <c r="I193" s="628"/>
      <c r="J193" s="629"/>
      <c r="K193" s="629"/>
    </row>
    <row r="194" spans="1:11" ht="15.75" x14ac:dyDescent="0.25">
      <c r="A194" s="208"/>
      <c r="B194" s="627"/>
      <c r="C194" s="627"/>
      <c r="D194" s="627"/>
      <c r="E194" s="627"/>
      <c r="F194" s="627"/>
      <c r="G194" s="249"/>
      <c r="H194" s="249"/>
      <c r="I194" s="240"/>
      <c r="J194" s="240"/>
      <c r="K194" s="240"/>
    </row>
    <row r="195" spans="1:11" ht="15.75" x14ac:dyDescent="0.25">
      <c r="A195" s="208"/>
      <c r="B195" s="627"/>
      <c r="C195" s="627"/>
      <c r="D195" s="627"/>
      <c r="E195" s="627"/>
      <c r="F195" s="627"/>
      <c r="G195" s="249"/>
      <c r="H195" s="249"/>
      <c r="I195" s="240"/>
      <c r="J195" s="240"/>
      <c r="K195" s="240"/>
    </row>
    <row r="196" spans="1:11" ht="15.75" x14ac:dyDescent="0.25">
      <c r="A196" s="208"/>
      <c r="B196" s="627"/>
      <c r="C196" s="627"/>
      <c r="D196" s="627"/>
      <c r="E196" s="627"/>
      <c r="F196" s="627"/>
      <c r="G196" s="249"/>
      <c r="H196" s="249"/>
      <c r="I196" s="240"/>
      <c r="J196" s="240"/>
      <c r="K196" s="240"/>
    </row>
    <row r="197" spans="1:11" ht="15.75" x14ac:dyDescent="0.25">
      <c r="A197" s="208"/>
      <c r="B197" s="627"/>
      <c r="C197" s="627"/>
      <c r="D197" s="627"/>
      <c r="E197" s="627"/>
      <c r="F197" s="627"/>
      <c r="G197" s="249"/>
      <c r="H197" s="249"/>
      <c r="I197" s="240"/>
      <c r="J197" s="240"/>
      <c r="K197" s="240"/>
    </row>
    <row r="198" spans="1:11" ht="15.75" x14ac:dyDescent="0.25">
      <c r="A198" s="208"/>
      <c r="B198" s="627"/>
      <c r="C198" s="627"/>
      <c r="D198" s="627"/>
      <c r="E198" s="627"/>
      <c r="F198" s="627"/>
      <c r="G198" s="249"/>
      <c r="H198" s="249"/>
      <c r="I198" s="240"/>
      <c r="J198" s="240"/>
      <c r="K198" s="240"/>
    </row>
    <row r="199" spans="1:11" ht="15.75" x14ac:dyDescent="0.25">
      <c r="A199" s="208"/>
      <c r="B199" s="627"/>
      <c r="C199" s="627"/>
      <c r="D199" s="627"/>
      <c r="E199" s="627"/>
      <c r="F199" s="627"/>
      <c r="G199" s="249"/>
      <c r="H199" s="249"/>
      <c r="I199" s="240"/>
      <c r="J199" s="240"/>
      <c r="K199" s="240"/>
    </row>
    <row r="200" spans="1:11" ht="15.75" x14ac:dyDescent="0.25">
      <c r="A200" s="208"/>
      <c r="B200" s="627"/>
      <c r="C200" s="627"/>
      <c r="D200" s="627"/>
      <c r="E200" s="627"/>
      <c r="F200" s="627"/>
      <c r="G200" s="249"/>
      <c r="H200" s="249"/>
      <c r="I200" s="240"/>
      <c r="J200" s="240"/>
      <c r="K200" s="240"/>
    </row>
    <row r="201" spans="1:11" ht="15.75" x14ac:dyDescent="0.25">
      <c r="A201" s="208"/>
      <c r="B201" s="627"/>
      <c r="C201" s="627"/>
      <c r="D201" s="627"/>
      <c r="E201" s="627"/>
      <c r="F201" s="627"/>
      <c r="G201" s="249"/>
      <c r="H201" s="249"/>
      <c r="I201" s="240"/>
      <c r="J201" s="240"/>
      <c r="K201" s="240"/>
    </row>
    <row r="202" spans="1:11" ht="15.75" x14ac:dyDescent="0.25">
      <c r="A202" s="208"/>
      <c r="B202" s="627"/>
      <c r="C202" s="627"/>
      <c r="D202" s="627"/>
      <c r="E202" s="627"/>
      <c r="F202" s="627"/>
      <c r="G202" s="249"/>
      <c r="H202" s="249"/>
      <c r="I202" s="240"/>
      <c r="J202" s="240"/>
      <c r="K202" s="240"/>
    </row>
    <row r="203" spans="1:11" ht="15.75" x14ac:dyDescent="0.25">
      <c r="A203" s="208"/>
      <c r="B203" s="627"/>
      <c r="C203" s="627"/>
      <c r="D203" s="627"/>
      <c r="E203" s="627"/>
      <c r="F203" s="627"/>
      <c r="G203" s="249"/>
      <c r="H203" s="249"/>
      <c r="I203" s="240"/>
      <c r="J203" s="240"/>
      <c r="K203" s="240"/>
    </row>
    <row r="204" spans="1:11" ht="15.75" x14ac:dyDescent="0.25">
      <c r="A204" s="208"/>
      <c r="B204" s="627"/>
      <c r="C204" s="627"/>
      <c r="D204" s="627"/>
      <c r="E204" s="627"/>
      <c r="F204" s="627"/>
      <c r="G204" s="249"/>
      <c r="H204" s="249"/>
      <c r="I204" s="628"/>
      <c r="J204" s="629"/>
      <c r="K204" s="630"/>
    </row>
    <row r="205" spans="1:11" ht="15.75" x14ac:dyDescent="0.25">
      <c r="A205" s="208"/>
      <c r="B205" s="627"/>
      <c r="C205" s="627"/>
      <c r="D205" s="627"/>
      <c r="E205" s="627"/>
      <c r="F205" s="627"/>
      <c r="G205" s="249"/>
      <c r="H205" s="249"/>
      <c r="I205" s="628"/>
      <c r="J205" s="629"/>
      <c r="K205" s="630"/>
    </row>
    <row r="206" spans="1:11" ht="15.75" x14ac:dyDescent="0.25">
      <c r="A206" s="208"/>
      <c r="B206" s="627"/>
      <c r="C206" s="627"/>
      <c r="D206" s="627"/>
      <c r="E206" s="627"/>
      <c r="F206" s="627"/>
      <c r="G206" s="249"/>
      <c r="H206" s="249"/>
      <c r="I206" s="628"/>
      <c r="J206" s="629"/>
      <c r="K206" s="630"/>
    </row>
    <row r="207" spans="1:11" ht="15.75" x14ac:dyDescent="0.25">
      <c r="A207" s="208"/>
      <c r="B207" s="627"/>
      <c r="C207" s="627"/>
      <c r="D207" s="627"/>
      <c r="E207" s="627"/>
      <c r="F207" s="627"/>
      <c r="G207" s="249"/>
      <c r="H207" s="249"/>
      <c r="I207" s="628"/>
      <c r="J207" s="629"/>
      <c r="K207" s="630"/>
    </row>
    <row r="208" spans="1:11" ht="15.75" x14ac:dyDescent="0.25">
      <c r="A208" s="208"/>
      <c r="B208" s="627"/>
      <c r="C208" s="627"/>
      <c r="D208" s="627"/>
      <c r="E208" s="627"/>
      <c r="F208" s="627"/>
      <c r="G208" s="249"/>
      <c r="H208" s="249"/>
      <c r="I208" s="628"/>
      <c r="J208" s="629"/>
      <c r="K208" s="630"/>
    </row>
    <row r="209" spans="1:11" ht="15.75" x14ac:dyDescent="0.25">
      <c r="A209" s="208"/>
      <c r="B209" s="627"/>
      <c r="C209" s="627"/>
      <c r="D209" s="627"/>
      <c r="E209" s="627"/>
      <c r="F209" s="627"/>
      <c r="G209" s="249"/>
      <c r="H209" s="249"/>
      <c r="I209" s="628"/>
      <c r="J209" s="629"/>
      <c r="K209" s="630"/>
    </row>
    <row r="210" spans="1:11" ht="15.75" x14ac:dyDescent="0.25">
      <c r="A210" s="208"/>
      <c r="B210" s="631"/>
      <c r="C210" s="632"/>
      <c r="D210" s="632"/>
      <c r="E210" s="632"/>
      <c r="F210" s="633"/>
      <c r="G210" s="249"/>
      <c r="H210" s="249"/>
      <c r="I210" s="628"/>
      <c r="J210" s="629"/>
      <c r="K210" s="630"/>
    </row>
    <row r="211" spans="1:11" ht="15.75" x14ac:dyDescent="0.25">
      <c r="A211" s="208"/>
      <c r="B211" s="264"/>
      <c r="C211" s="244"/>
      <c r="D211" s="245"/>
      <c r="E211" s="245"/>
      <c r="F211" s="246"/>
      <c r="G211" s="249"/>
      <c r="H211" s="249"/>
      <c r="I211" s="628"/>
      <c r="J211" s="629"/>
      <c r="K211" s="630"/>
    </row>
    <row r="212" spans="1:11" ht="15.75" x14ac:dyDescent="0.25">
      <c r="A212" s="208"/>
      <c r="B212" s="627"/>
      <c r="C212" s="627"/>
      <c r="D212" s="627"/>
      <c r="E212" s="627"/>
      <c r="F212" s="627"/>
      <c r="G212" s="249"/>
      <c r="H212" s="249"/>
      <c r="I212" s="628"/>
      <c r="J212" s="629"/>
      <c r="K212" s="630"/>
    </row>
    <row r="213" spans="1:11" ht="15.75" x14ac:dyDescent="0.25">
      <c r="A213" s="208"/>
      <c r="B213" s="627"/>
      <c r="C213" s="627"/>
      <c r="D213" s="627"/>
      <c r="E213" s="627"/>
      <c r="F213" s="627"/>
      <c r="G213" s="249"/>
      <c r="H213" s="249"/>
      <c r="I213" s="628"/>
      <c r="J213" s="629"/>
      <c r="K213" s="630"/>
    </row>
    <row r="214" spans="1:11" ht="15.75" x14ac:dyDescent="0.25">
      <c r="A214" s="208"/>
      <c r="B214" s="627"/>
      <c r="C214" s="627"/>
      <c r="D214" s="627"/>
      <c r="E214" s="627"/>
      <c r="F214" s="627"/>
      <c r="G214" s="249"/>
      <c r="H214" s="249"/>
      <c r="I214" s="628"/>
      <c r="J214" s="629"/>
      <c r="K214" s="630"/>
    </row>
    <row r="215" spans="1:11" ht="15.75" x14ac:dyDescent="0.25">
      <c r="A215" s="208"/>
      <c r="B215" s="627"/>
      <c r="C215" s="627"/>
      <c r="D215" s="627"/>
      <c r="E215" s="627"/>
      <c r="F215" s="627"/>
      <c r="G215" s="249"/>
      <c r="H215" s="249"/>
      <c r="I215" s="628"/>
      <c r="J215" s="629"/>
      <c r="K215" s="630"/>
    </row>
    <row r="216" spans="1:11" ht="15.75" x14ac:dyDescent="0.25">
      <c r="A216" s="208"/>
      <c r="B216" s="627"/>
      <c r="C216" s="627"/>
      <c r="D216" s="627"/>
      <c r="E216" s="627"/>
      <c r="F216" s="627"/>
      <c r="G216" s="249"/>
      <c r="H216" s="249"/>
      <c r="I216" s="628"/>
      <c r="J216" s="629"/>
      <c r="K216" s="630"/>
    </row>
    <row r="217" spans="1:11" ht="15.75" x14ac:dyDescent="0.25">
      <c r="A217" s="208"/>
      <c r="B217" s="627"/>
      <c r="C217" s="627"/>
      <c r="D217" s="627"/>
      <c r="E217" s="627"/>
      <c r="F217" s="627"/>
      <c r="G217" s="249"/>
      <c r="H217" s="249"/>
      <c r="I217" s="628"/>
      <c r="J217" s="629"/>
      <c r="K217" s="630"/>
    </row>
    <row r="218" spans="1:11" ht="15.75" x14ac:dyDescent="0.25">
      <c r="A218" s="208"/>
      <c r="B218" s="627"/>
      <c r="C218" s="627"/>
      <c r="D218" s="627"/>
      <c r="E218" s="627"/>
      <c r="F218" s="627"/>
      <c r="G218" s="249"/>
      <c r="H218" s="249"/>
      <c r="I218" s="628"/>
      <c r="J218" s="629"/>
      <c r="K218" s="630"/>
    </row>
    <row r="219" spans="1:11" ht="15.75" x14ac:dyDescent="0.25">
      <c r="A219" s="208"/>
      <c r="B219" s="627"/>
      <c r="C219" s="627"/>
      <c r="D219" s="627"/>
      <c r="E219" s="627"/>
      <c r="F219" s="627"/>
      <c r="G219" s="249"/>
      <c r="H219" s="249"/>
      <c r="I219" s="628"/>
      <c r="J219" s="629"/>
      <c r="K219" s="630"/>
    </row>
    <row r="220" spans="1:11" ht="15.75" x14ac:dyDescent="0.25">
      <c r="A220" s="208"/>
      <c r="B220" s="627"/>
      <c r="C220" s="627"/>
      <c r="D220" s="627"/>
      <c r="E220" s="627"/>
      <c r="F220" s="627"/>
      <c r="G220" s="249"/>
      <c r="H220" s="249"/>
      <c r="I220" s="628"/>
      <c r="J220" s="629"/>
      <c r="K220" s="630"/>
    </row>
    <row r="221" spans="1:11" ht="15.75" x14ac:dyDescent="0.25">
      <c r="A221" s="208"/>
      <c r="B221" s="627"/>
      <c r="C221" s="627"/>
      <c r="D221" s="627"/>
      <c r="E221" s="627"/>
      <c r="F221" s="627"/>
      <c r="G221" s="249"/>
      <c r="H221" s="249"/>
      <c r="I221" s="628"/>
      <c r="J221" s="629"/>
      <c r="K221" s="630"/>
    </row>
    <row r="222" spans="1:11" ht="15.75" x14ac:dyDescent="0.25">
      <c r="A222" s="208"/>
      <c r="B222" s="627"/>
      <c r="C222" s="627"/>
      <c r="D222" s="627"/>
      <c r="E222" s="627"/>
      <c r="F222" s="627"/>
      <c r="G222" s="249"/>
      <c r="H222" s="249"/>
      <c r="I222" s="628"/>
      <c r="J222" s="629"/>
      <c r="K222" s="630"/>
    </row>
    <row r="223" spans="1:11" ht="15.75" x14ac:dyDescent="0.25">
      <c r="A223" s="208"/>
      <c r="B223" s="627"/>
      <c r="C223" s="627"/>
      <c r="D223" s="627"/>
      <c r="E223" s="627"/>
      <c r="F223" s="627"/>
      <c r="G223" s="249"/>
      <c r="H223" s="249"/>
      <c r="I223" s="628"/>
      <c r="J223" s="629"/>
      <c r="K223" s="630"/>
    </row>
    <row r="224" spans="1:11" ht="15.75" x14ac:dyDescent="0.25">
      <c r="A224" s="208"/>
      <c r="B224" s="627"/>
      <c r="C224" s="627"/>
      <c r="D224" s="627"/>
      <c r="E224" s="627"/>
      <c r="F224" s="627"/>
      <c r="G224" s="249"/>
      <c r="H224" s="249"/>
      <c r="I224" s="634"/>
      <c r="J224" s="634"/>
      <c r="K224" s="634"/>
    </row>
    <row r="225" spans="1:11" ht="15.75" x14ac:dyDescent="0.25">
      <c r="A225" s="208"/>
      <c r="B225" s="631"/>
      <c r="C225" s="632"/>
      <c r="D225" s="632"/>
      <c r="E225" s="632"/>
      <c r="F225" s="633"/>
      <c r="G225" s="249"/>
      <c r="H225" s="249"/>
      <c r="I225" s="634"/>
      <c r="J225" s="634"/>
      <c r="K225" s="634"/>
    </row>
    <row r="226" spans="1:11" ht="15.75" x14ac:dyDescent="0.25">
      <c r="A226" s="208"/>
      <c r="B226" s="631"/>
      <c r="C226" s="632"/>
      <c r="D226" s="632"/>
      <c r="E226" s="632"/>
      <c r="F226" s="633"/>
      <c r="G226" s="249"/>
      <c r="H226" s="249"/>
      <c r="I226" s="634"/>
      <c r="J226" s="634"/>
      <c r="K226" s="634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02"/>
  <sheetViews>
    <sheetView workbookViewId="0">
      <selection sqref="A1:E192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7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08.11.2023 № 90-ос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7"/>
    </row>
    <row r="3" spans="1:5" x14ac:dyDescent="0.25">
      <c r="A3" s="668" t="s">
        <v>126</v>
      </c>
      <c r="B3" s="668"/>
      <c r="C3" s="668"/>
      <c r="D3" s="668"/>
      <c r="E3" s="668"/>
    </row>
    <row r="4" spans="1:5" ht="13.5" customHeight="1" x14ac:dyDescent="0.25">
      <c r="A4" s="669" t="s">
        <v>150</v>
      </c>
      <c r="B4" s="669"/>
      <c r="C4" s="669"/>
      <c r="D4" s="669"/>
      <c r="E4" s="669"/>
    </row>
    <row r="5" spans="1:5" ht="60" x14ac:dyDescent="0.25">
      <c r="A5" s="122" t="s">
        <v>127</v>
      </c>
      <c r="B5" s="62" t="s">
        <v>128</v>
      </c>
      <c r="C5" s="122" t="s">
        <v>129</v>
      </c>
      <c r="D5" s="122" t="s">
        <v>130</v>
      </c>
      <c r="E5" s="122" t="s">
        <v>131</v>
      </c>
    </row>
    <row r="6" spans="1:5" x14ac:dyDescent="0.25">
      <c r="A6" s="123">
        <v>1</v>
      </c>
      <c r="B6" s="123">
        <v>2</v>
      </c>
      <c r="C6" s="123">
        <v>3</v>
      </c>
      <c r="D6" s="123">
        <v>4</v>
      </c>
      <c r="E6" s="123">
        <v>5</v>
      </c>
    </row>
    <row r="7" spans="1:5" ht="37.15" customHeight="1" x14ac:dyDescent="0.25">
      <c r="A7" s="677" t="s">
        <v>152</v>
      </c>
      <c r="B7" s="676" t="s">
        <v>153</v>
      </c>
      <c r="C7" s="670" t="s">
        <v>132</v>
      </c>
      <c r="D7" s="671"/>
      <c r="E7" s="672"/>
    </row>
    <row r="8" spans="1:5" ht="14.45" customHeight="1" x14ac:dyDescent="0.25">
      <c r="A8" s="678"/>
      <c r="B8" s="676"/>
      <c r="C8" s="673" t="s">
        <v>133</v>
      </c>
      <c r="D8" s="674"/>
      <c r="E8" s="675"/>
    </row>
    <row r="9" spans="1:5" ht="12" customHeight="1" x14ac:dyDescent="0.25">
      <c r="A9" s="678"/>
      <c r="B9" s="676"/>
      <c r="C9" s="102" t="s">
        <v>140</v>
      </c>
      <c r="D9" s="124" t="s">
        <v>134</v>
      </c>
      <c r="E9" s="215">
        <f>'патриотика0,3643'!D25</f>
        <v>2.0400800000000001</v>
      </c>
    </row>
    <row r="10" spans="1:5" ht="12" customHeight="1" x14ac:dyDescent="0.25">
      <c r="A10" s="678"/>
      <c r="B10" s="676"/>
      <c r="C10" s="102" t="s">
        <v>93</v>
      </c>
      <c r="D10" s="125" t="s">
        <v>134</v>
      </c>
      <c r="E10" s="215">
        <f>'патриотика0,3643'!D24</f>
        <v>0.36430000000000001</v>
      </c>
    </row>
    <row r="11" spans="1:5" ht="12" customHeight="1" x14ac:dyDescent="0.25">
      <c r="A11" s="678"/>
      <c r="B11" s="676"/>
      <c r="C11" s="661" t="s">
        <v>144</v>
      </c>
      <c r="D11" s="662"/>
      <c r="E11" s="663"/>
    </row>
    <row r="12" spans="1:5" ht="40.15" customHeight="1" x14ac:dyDescent="0.25">
      <c r="A12" s="678"/>
      <c r="B12" s="676"/>
      <c r="C12" s="112" t="s">
        <v>289</v>
      </c>
      <c r="D12" s="94" t="s">
        <v>39</v>
      </c>
      <c r="E12" s="214">
        <f>'патриотика0,3643'!E46</f>
        <v>0.36430000000000001</v>
      </c>
    </row>
    <row r="13" spans="1:5" ht="25.5" customHeight="1" x14ac:dyDescent="0.25">
      <c r="A13" s="678"/>
      <c r="B13" s="676"/>
      <c r="C13" s="112" t="s">
        <v>290</v>
      </c>
      <c r="D13" s="94" t="s">
        <v>39</v>
      </c>
      <c r="E13" s="214">
        <f>'патриотика0,3643'!E47</f>
        <v>0.36430000000000001</v>
      </c>
    </row>
    <row r="14" spans="1:5" ht="22.9" customHeight="1" x14ac:dyDescent="0.25">
      <c r="A14" s="678"/>
      <c r="B14" s="676"/>
      <c r="C14" s="112" t="s">
        <v>291</v>
      </c>
      <c r="D14" s="94" t="s">
        <v>39</v>
      </c>
      <c r="E14" s="214">
        <f>'патриотика0,3643'!E48</f>
        <v>0.36430000000000001</v>
      </c>
    </row>
    <row r="15" spans="1:5" ht="27" customHeight="1" x14ac:dyDescent="0.25">
      <c r="A15" s="678"/>
      <c r="B15" s="676"/>
      <c r="C15" s="664" t="s">
        <v>145</v>
      </c>
      <c r="D15" s="665"/>
      <c r="E15" s="666"/>
    </row>
    <row r="16" spans="1:5" ht="30" hidden="1" customHeight="1" x14ac:dyDescent="0.25">
      <c r="A16" s="678"/>
      <c r="B16" s="676"/>
      <c r="C16" s="121" t="str">
        <f>'патриотика0,3643'!A77</f>
        <v>Брюки ВКБО 50</v>
      </c>
      <c r="D16" s="94"/>
      <c r="E16" s="86"/>
    </row>
    <row r="17" spans="1:5" ht="12" customHeight="1" x14ac:dyDescent="0.25">
      <c r="A17" s="678"/>
      <c r="B17" s="676"/>
      <c r="C17" s="121" t="str">
        <f>'патриотика0,3643'!A78</f>
        <v>Брюки Тамерлан 50</v>
      </c>
      <c r="D17" s="94" t="s">
        <v>84</v>
      </c>
      <c r="E17" s="86">
        <f>'патриотика0,3643'!E78</f>
        <v>1</v>
      </c>
    </row>
    <row r="18" spans="1:5" ht="12" customHeight="1" x14ac:dyDescent="0.25">
      <c r="A18" s="678"/>
      <c r="B18" s="676"/>
      <c r="C18" s="121" t="str">
        <f>'патриотика0,3643'!A79</f>
        <v>Китель Тамерлан</v>
      </c>
      <c r="D18" s="94" t="s">
        <v>84</v>
      </c>
      <c r="E18" s="86">
        <f>'патриотика0,3643'!E79</f>
        <v>1</v>
      </c>
    </row>
    <row r="19" spans="1:5" ht="12" customHeight="1" x14ac:dyDescent="0.25">
      <c r="A19" s="678"/>
      <c r="B19" s="676"/>
      <c r="C19" s="121" t="str">
        <f>'патриотика0,3643'!A80</f>
        <v>Рюкзак десантника</v>
      </c>
      <c r="D19" s="94" t="s">
        <v>84</v>
      </c>
      <c r="E19" s="86">
        <f>'патриотика0,3643'!E80</f>
        <v>15</v>
      </c>
    </row>
    <row r="20" spans="1:5" ht="12" customHeight="1" x14ac:dyDescent="0.25">
      <c r="A20" s="678"/>
      <c r="B20" s="676"/>
      <c r="C20" s="121" t="str">
        <f>'патриотика0,3643'!A81</f>
        <v>плащ палатка</v>
      </c>
      <c r="D20" s="94" t="s">
        <v>84</v>
      </c>
      <c r="E20" s="86">
        <f>'патриотика0,3643'!E81</f>
        <v>15</v>
      </c>
    </row>
    <row r="21" spans="1:5" ht="12" customHeight="1" x14ac:dyDescent="0.25">
      <c r="A21" s="678"/>
      <c r="B21" s="676"/>
      <c r="C21" s="121" t="str">
        <f>'патриотика0,3643'!A82</f>
        <v>ремень офицерский</v>
      </c>
      <c r="D21" s="94" t="s">
        <v>84</v>
      </c>
      <c r="E21" s="86">
        <f>'патриотика0,3643'!E82</f>
        <v>20</v>
      </c>
    </row>
    <row r="22" spans="1:5" ht="12" customHeight="1" x14ac:dyDescent="0.25">
      <c r="A22" s="678"/>
      <c r="B22" s="676"/>
      <c r="C22" s="121" t="str">
        <f>'патриотика0,3643'!A83</f>
        <v>лопатка саперная</v>
      </c>
      <c r="D22" s="94" t="s">
        <v>84</v>
      </c>
      <c r="E22" s="86">
        <f>'патриотика0,3643'!E83</f>
        <v>20</v>
      </c>
    </row>
    <row r="23" spans="1:5" ht="12" customHeight="1" x14ac:dyDescent="0.25">
      <c r="A23" s="678"/>
      <c r="B23" s="676"/>
      <c r="C23" s="121" t="str">
        <f>'патриотика0,3643'!A84</f>
        <v>Костюм защитный рост 1</v>
      </c>
      <c r="D23" s="94" t="s">
        <v>84</v>
      </c>
      <c r="E23" s="86">
        <f>'патриотика0,3643'!E84</f>
        <v>10</v>
      </c>
    </row>
    <row r="24" spans="1:5" ht="12" customHeight="1" x14ac:dyDescent="0.25">
      <c r="A24" s="678"/>
      <c r="B24" s="676"/>
      <c r="C24" s="121" t="str">
        <f>'патриотика0,3643'!A85</f>
        <v>Костюм защитный рост 2</v>
      </c>
      <c r="D24" s="94" t="s">
        <v>84</v>
      </c>
      <c r="E24" s="86">
        <f>'патриотика0,3643'!E85</f>
        <v>10</v>
      </c>
    </row>
    <row r="25" spans="1:5" ht="12" customHeight="1" x14ac:dyDescent="0.25">
      <c r="A25" s="678"/>
      <c r="B25" s="676"/>
      <c r="C25" s="121" t="str">
        <f>'патриотика0,3643'!A86</f>
        <v xml:space="preserve">Каска </v>
      </c>
      <c r="D25" s="94" t="s">
        <v>84</v>
      </c>
      <c r="E25" s="86">
        <f>'патриотика0,3643'!E86</f>
        <v>4</v>
      </c>
    </row>
    <row r="26" spans="1:5" ht="12" customHeight="1" x14ac:dyDescent="0.25">
      <c r="A26" s="678"/>
      <c r="B26" s="676"/>
      <c r="C26" s="121" t="str">
        <f>'патриотика0,3643'!A87</f>
        <v>курвиметр</v>
      </c>
      <c r="D26" s="94" t="s">
        <v>84</v>
      </c>
      <c r="E26" s="86">
        <f>'патриотика0,3643'!E87</f>
        <v>2</v>
      </c>
    </row>
    <row r="27" spans="1:5" ht="12" customHeight="1" x14ac:dyDescent="0.25">
      <c r="A27" s="678"/>
      <c r="B27" s="676"/>
      <c r="C27" s="121" t="str">
        <f>'патриотика0,3643'!A88</f>
        <v>Подсумок АК черн</v>
      </c>
      <c r="D27" s="94" t="s">
        <v>84</v>
      </c>
      <c r="E27" s="86">
        <f>'патриотика0,3643'!E88</f>
        <v>4</v>
      </c>
    </row>
    <row r="28" spans="1:5" ht="12" customHeight="1" x14ac:dyDescent="0.25">
      <c r="A28" s="678"/>
      <c r="B28" s="676"/>
      <c r="C28" s="121" t="str">
        <f>'патриотика0,3643'!A89</f>
        <v>Подсумок РПК черн</v>
      </c>
      <c r="D28" s="94" t="s">
        <v>84</v>
      </c>
      <c r="E28" s="86">
        <f>'патриотика0,3643'!E89</f>
        <v>1</v>
      </c>
    </row>
    <row r="29" spans="1:5" ht="12" customHeight="1" x14ac:dyDescent="0.25">
      <c r="A29" s="678"/>
      <c r="B29" s="676"/>
      <c r="C29" s="121" t="str">
        <f>'патриотика0,3643'!A90</f>
        <v>Магазин РПК</v>
      </c>
      <c r="D29" s="94" t="s">
        <v>84</v>
      </c>
      <c r="E29" s="86">
        <f>'патриотика0,3643'!E90</f>
        <v>5</v>
      </c>
    </row>
    <row r="30" spans="1:5" ht="12" customHeight="1" x14ac:dyDescent="0.25">
      <c r="A30" s="678"/>
      <c r="B30" s="676"/>
      <c r="C30" s="121" t="str">
        <f>'патриотика0,3643'!A91</f>
        <v>ОЗК</v>
      </c>
      <c r="D30" s="94" t="s">
        <v>84</v>
      </c>
      <c r="E30" s="86">
        <f>'патриотика0,3643'!E91</f>
        <v>4</v>
      </c>
    </row>
    <row r="31" spans="1:5" ht="12" customHeight="1" x14ac:dyDescent="0.25">
      <c r="A31" s="678"/>
      <c r="B31" s="676"/>
      <c r="C31" s="121" t="str">
        <f>'патриотика0,3643'!A92</f>
        <v>Сумка тактическая</v>
      </c>
      <c r="D31" s="94" t="s">
        <v>84</v>
      </c>
      <c r="E31" s="86">
        <f>'патриотика0,3643'!E92</f>
        <v>10</v>
      </c>
    </row>
    <row r="32" spans="1:5" ht="12" customHeight="1" x14ac:dyDescent="0.25">
      <c r="A32" s="678"/>
      <c r="B32" s="676"/>
      <c r="C32" s="121" t="str">
        <f>'патриотика0,3643'!A93</f>
        <v>Сумка для противогаза</v>
      </c>
      <c r="D32" s="94" t="s">
        <v>84</v>
      </c>
      <c r="E32" s="86">
        <f>'патриотика0,3643'!E93</f>
        <v>20</v>
      </c>
    </row>
    <row r="33" spans="1:5" ht="12" customHeight="1" x14ac:dyDescent="0.25">
      <c r="A33" s="678"/>
      <c r="B33" s="676"/>
      <c r="C33" s="121" t="str">
        <f>'патриотика0,3643'!A94</f>
        <v>Экипировочные костюмы юнармия (кители, берцы, шарфы, шевроны, нашивки, куртки, шапки, жакеты, брюки, ремни)</v>
      </c>
      <c r="D33" s="94" t="s">
        <v>84</v>
      </c>
      <c r="E33" s="86">
        <f>'патриотика0,3643'!E94</f>
        <v>48</v>
      </c>
    </row>
    <row r="34" spans="1:5" ht="12" customHeight="1" x14ac:dyDescent="0.25">
      <c r="A34" s="678"/>
      <c r="B34" s="676"/>
      <c r="C34" s="121" t="str">
        <f>'патриотика0,3643'!A95</f>
        <v>мягкие перчатки</v>
      </c>
      <c r="D34" s="94" t="s">
        <v>84</v>
      </c>
      <c r="E34" s="86">
        <f>'патриотика0,3643'!E95</f>
        <v>10</v>
      </c>
    </row>
    <row r="35" spans="1:5" ht="12" customHeight="1" x14ac:dyDescent="0.25">
      <c r="A35" s="678"/>
      <c r="B35" s="676"/>
      <c r="C35" s="121" t="str">
        <f>'патриотика0,3643'!A96</f>
        <v>Покрытие "Танковый трек"</v>
      </c>
      <c r="D35" s="94" t="s">
        <v>84</v>
      </c>
      <c r="E35" s="86">
        <f>'патриотика0,3643'!E96</f>
        <v>1</v>
      </c>
    </row>
    <row r="36" spans="1:5" ht="12" customHeight="1" x14ac:dyDescent="0.25">
      <c r="A36" s="678"/>
      <c r="B36" s="676"/>
      <c r="C36" s="121" t="str">
        <f>'патриотика0,3643'!A97</f>
        <v>Баннер с люверсами</v>
      </c>
      <c r="D36" s="94" t="s">
        <v>84</v>
      </c>
      <c r="E36" s="86">
        <f>'патриотика0,3643'!E97</f>
        <v>1</v>
      </c>
    </row>
    <row r="37" spans="1:5" ht="12" customHeight="1" x14ac:dyDescent="0.25">
      <c r="A37" s="678"/>
      <c r="B37" s="676"/>
      <c r="C37" s="121" t="str">
        <f>'патриотика0,3643'!A98</f>
        <v>Флаг для виндера парус "Юнармия"</v>
      </c>
      <c r="D37" s="94" t="s">
        <v>84</v>
      </c>
      <c r="E37" s="86">
        <f>'патриотика0,3643'!E98</f>
        <v>1</v>
      </c>
    </row>
    <row r="38" spans="1:5" ht="12" customHeight="1" x14ac:dyDescent="0.25">
      <c r="A38" s="678"/>
      <c r="B38" s="676"/>
      <c r="C38" s="121" t="str">
        <f>'патриотика0,3643'!A99</f>
        <v>парафиновый вкладых (свечи памяти)</v>
      </c>
      <c r="D38" s="94" t="s">
        <v>84</v>
      </c>
      <c r="E38" s="86">
        <f>'патриотика0,3643'!E99</f>
        <v>1000</v>
      </c>
    </row>
    <row r="39" spans="1:5" ht="12" customHeight="1" x14ac:dyDescent="0.25">
      <c r="A39" s="678"/>
      <c r="B39" s="676"/>
      <c r="C39" s="121" t="str">
        <f>'патриотика0,3643'!A100</f>
        <v>Лента репсовая георгиевская 25 мм</v>
      </c>
      <c r="D39" s="94" t="s">
        <v>84</v>
      </c>
      <c r="E39" s="86">
        <f>'патриотика0,3643'!E100</f>
        <v>150</v>
      </c>
    </row>
    <row r="40" spans="1:5" ht="12" customHeight="1" x14ac:dyDescent="0.25">
      <c r="A40" s="678"/>
      <c r="B40" s="676"/>
      <c r="C40" s="121" t="str">
        <f>'патриотика0,3643'!A101</f>
        <v>Лента репсовая георгиевская 35 мм</v>
      </c>
      <c r="D40" s="94" t="s">
        <v>84</v>
      </c>
      <c r="E40" s="86">
        <f>'патриотика0,3643'!E101</f>
        <v>400</v>
      </c>
    </row>
    <row r="41" spans="1:5" ht="12" customHeight="1" x14ac:dyDescent="0.25">
      <c r="A41" s="678"/>
      <c r="B41" s="676"/>
      <c r="C41" s="121" t="str">
        <f>'патриотика0,3643'!A102</f>
        <v>Брусок для штандартов на 9 мая</v>
      </c>
      <c r="D41" s="94" t="s">
        <v>84</v>
      </c>
      <c r="E41" s="86">
        <f>'патриотика0,3643'!E102</f>
        <v>500</v>
      </c>
    </row>
    <row r="42" spans="1:5" ht="12" customHeight="1" x14ac:dyDescent="0.25">
      <c r="A42" s="678"/>
      <c r="B42" s="676"/>
      <c r="C42" s="121" t="str">
        <f>'патриотика0,3643'!A103</f>
        <v>Наградная продукция к мероприятиям</v>
      </c>
      <c r="D42" s="94" t="s">
        <v>84</v>
      </c>
      <c r="E42" s="86">
        <f>'патриотика0,3643'!E103</f>
        <v>10</v>
      </c>
    </row>
    <row r="43" spans="1:5" ht="12" hidden="1" customHeight="1" x14ac:dyDescent="0.25">
      <c r="A43" s="678"/>
      <c r="B43" s="676"/>
      <c r="C43" s="121" t="e">
        <f>'патриотика0,3643'!#REF!</f>
        <v>#REF!</v>
      </c>
      <c r="D43" s="94" t="s">
        <v>84</v>
      </c>
      <c r="E43" s="86" t="e">
        <f>'патриотика0,3643'!#REF!</f>
        <v>#REF!</v>
      </c>
    </row>
    <row r="44" spans="1:5" ht="12" hidden="1" customHeight="1" x14ac:dyDescent="0.25">
      <c r="A44" s="678"/>
      <c r="B44" s="676"/>
      <c r="C44" s="121" t="e">
        <f>'патриотика0,3643'!#REF!</f>
        <v>#REF!</v>
      </c>
      <c r="D44" s="94" t="s">
        <v>84</v>
      </c>
      <c r="E44" s="86" t="e">
        <f>'патриотика0,3643'!#REF!</f>
        <v>#REF!</v>
      </c>
    </row>
    <row r="45" spans="1:5" ht="12" hidden="1" customHeight="1" x14ac:dyDescent="0.25">
      <c r="A45" s="678"/>
      <c r="B45" s="676"/>
      <c r="C45" s="121">
        <f>'патриотика0,3643'!A104</f>
        <v>0</v>
      </c>
      <c r="D45" s="94" t="s">
        <v>84</v>
      </c>
      <c r="E45" s="241"/>
    </row>
    <row r="46" spans="1:5" ht="12" hidden="1" customHeight="1" x14ac:dyDescent="0.25">
      <c r="A46" s="678"/>
      <c r="B46" s="676"/>
      <c r="C46" s="121">
        <f>'патриотика0,3643'!A105</f>
        <v>0</v>
      </c>
      <c r="D46" s="94" t="s">
        <v>84</v>
      </c>
      <c r="E46" s="241"/>
    </row>
    <row r="47" spans="1:5" ht="12" hidden="1" customHeight="1" x14ac:dyDescent="0.25">
      <c r="A47" s="678"/>
      <c r="B47" s="676"/>
      <c r="C47" s="121">
        <f>'патриотика0,3643'!A106</f>
        <v>0</v>
      </c>
      <c r="D47" s="94" t="s">
        <v>84</v>
      </c>
      <c r="E47" s="241"/>
    </row>
    <row r="48" spans="1:5" ht="12" hidden="1" customHeight="1" x14ac:dyDescent="0.25">
      <c r="A48" s="678"/>
      <c r="B48" s="676"/>
      <c r="C48" s="121">
        <f>'патриотика0,3643'!A107</f>
        <v>0</v>
      </c>
      <c r="D48" s="94" t="s">
        <v>84</v>
      </c>
      <c r="E48" s="241"/>
    </row>
    <row r="49" spans="1:5" ht="26.45" customHeight="1" x14ac:dyDescent="0.25">
      <c r="A49" s="678"/>
      <c r="B49" s="676"/>
      <c r="C49" s="679" t="s">
        <v>135</v>
      </c>
      <c r="D49" s="680"/>
      <c r="E49" s="681"/>
    </row>
    <row r="50" spans="1:5" ht="14.45" customHeight="1" x14ac:dyDescent="0.25">
      <c r="A50" s="678"/>
      <c r="B50" s="676"/>
      <c r="C50" s="679" t="s">
        <v>136</v>
      </c>
      <c r="D50" s="680"/>
      <c r="E50" s="681"/>
    </row>
    <row r="51" spans="1:5" ht="14.45" customHeight="1" x14ac:dyDescent="0.25">
      <c r="A51" s="678"/>
      <c r="B51" s="676"/>
      <c r="C51" s="126" t="str">
        <f>'натур показатели инновации+добр'!C35</f>
        <v>Теплоэнергия</v>
      </c>
      <c r="D51" s="127" t="str">
        <f>'натур показатели инновации+добр'!D35</f>
        <v>Гкал</v>
      </c>
      <c r="E51" s="128">
        <f>'патриотика0,3643'!D147</f>
        <v>20.0365</v>
      </c>
    </row>
    <row r="52" spans="1:5" ht="14.45" customHeight="1" x14ac:dyDescent="0.25">
      <c r="A52" s="678"/>
      <c r="B52" s="676"/>
      <c r="C52" s="126" t="str">
        <f>'натур показатели инновации+добр'!C36</f>
        <v xml:space="preserve">Водоснабжение </v>
      </c>
      <c r="D52" s="127" t="str">
        <f>'натур показатели инновации+добр'!D36</f>
        <v>м2</v>
      </c>
      <c r="E52" s="128">
        <f>'патриотика0,3643'!D148</f>
        <v>38.725090000000002</v>
      </c>
    </row>
    <row r="53" spans="1:5" ht="14.45" customHeight="1" x14ac:dyDescent="0.25">
      <c r="A53" s="678"/>
      <c r="B53" s="676"/>
      <c r="C53" s="126" t="str">
        <f>'натур показатели инновации+добр'!C37</f>
        <v>Водоотведение (септик)</v>
      </c>
      <c r="D53" s="127" t="str">
        <f>'натур показатели инновации+добр'!D37</f>
        <v>м3</v>
      </c>
      <c r="E53" s="128">
        <f>'патриотика0,3643'!D149</f>
        <v>1.0929</v>
      </c>
    </row>
    <row r="54" spans="1:5" ht="14.45" customHeight="1" x14ac:dyDescent="0.25">
      <c r="A54" s="678"/>
      <c r="B54" s="676"/>
      <c r="C54" s="126" t="str">
        <f>'натур показатели инновации+добр'!C38</f>
        <v>Электроэнергия</v>
      </c>
      <c r="D54" s="127" t="str">
        <f>'натур показатели инновации+добр'!D38</f>
        <v>МВт час.</v>
      </c>
      <c r="E54" s="128">
        <f>'патриотика0,3643'!D150</f>
        <v>2.1858</v>
      </c>
    </row>
    <row r="55" spans="1:5" ht="14.45" customHeight="1" x14ac:dyDescent="0.25">
      <c r="A55" s="678"/>
      <c r="B55" s="676"/>
      <c r="C55" s="126" t="str">
        <f>'натур показатели инновации+добр'!C39</f>
        <v>ТКО</v>
      </c>
      <c r="D55" s="127" t="str">
        <f>'натур показатели инновации+добр'!D39</f>
        <v>договор</v>
      </c>
      <c r="E55" s="128">
        <f>'патриотика0,3643'!D151</f>
        <v>2.9144000000000001</v>
      </c>
    </row>
    <row r="56" spans="1:5" ht="14.45" customHeight="1" x14ac:dyDescent="0.25">
      <c r="A56" s="678"/>
      <c r="B56" s="676"/>
      <c r="C56" s="126" t="str">
        <f>'натур показатели инновации+добр'!C40</f>
        <v>Электроэнергия (резерв)</v>
      </c>
      <c r="D56" s="127" t="str">
        <f>'натур показатели инновации+добр'!D40</f>
        <v>МВт час.</v>
      </c>
      <c r="E56" s="128">
        <f>'патриотика0,3643'!D152</f>
        <v>1.8215000000000001</v>
      </c>
    </row>
    <row r="57" spans="1:5" ht="39" customHeight="1" x14ac:dyDescent="0.25">
      <c r="A57" s="678"/>
      <c r="B57" s="676"/>
      <c r="C57" s="685" t="s">
        <v>137</v>
      </c>
      <c r="D57" s="686"/>
      <c r="E57" s="687"/>
    </row>
    <row r="58" spans="1:5" ht="23.25" customHeight="1" x14ac:dyDescent="0.25">
      <c r="A58" s="678"/>
      <c r="B58" s="676"/>
      <c r="C58" s="129" t="str">
        <f>'патриотика0,3643'!A196</f>
        <v xml:space="preserve">Мониторинг систем пожарной сигнализации  </v>
      </c>
      <c r="D58" s="235" t="str">
        <f>'патриотика0,3643'!B196</f>
        <v>договор</v>
      </c>
      <c r="E58" s="235">
        <f>'патриотика0,3643'!D196</f>
        <v>4.3715999999999999</v>
      </c>
    </row>
    <row r="59" spans="1:5" ht="22.5" customHeight="1" x14ac:dyDescent="0.25">
      <c r="A59" s="678"/>
      <c r="B59" s="676"/>
      <c r="C59" s="129" t="str">
        <f>'патриотика0,3643'!A197</f>
        <v xml:space="preserve">Уборка территории от снега </v>
      </c>
      <c r="D59" s="235" t="str">
        <f>'патриотика0,3643'!B197</f>
        <v>договор</v>
      </c>
      <c r="E59" s="235">
        <f>'патриотика0,3643'!D197</f>
        <v>0.72860000000000003</v>
      </c>
    </row>
    <row r="60" spans="1:5" ht="15" customHeight="1" x14ac:dyDescent="0.25">
      <c r="A60" s="678"/>
      <c r="B60" s="676"/>
      <c r="C60" s="129" t="str">
        <f>'патриотика0,3643'!A198</f>
        <v>Профилактическая дезинфекция</v>
      </c>
      <c r="D60" s="235" t="str">
        <f>'патриотика0,3643'!B198</f>
        <v>договор</v>
      </c>
      <c r="E60" s="235">
        <f>'патриотика0,3643'!D198</f>
        <v>0.36430000000000001</v>
      </c>
    </row>
    <row r="61" spans="1:5" ht="15" customHeight="1" x14ac:dyDescent="0.25">
      <c r="A61" s="678"/>
      <c r="B61" s="676"/>
      <c r="C61" s="129" t="str">
        <f>'патриотика0,3643'!A199</f>
        <v>Комплексное обслуживание системы тепловодоснабжения и конструктивных элементов здания</v>
      </c>
      <c r="D61" s="235" t="str">
        <f>'патриотика0,3643'!B199</f>
        <v>договор</v>
      </c>
      <c r="E61" s="235">
        <f>'патриотика0,3643'!D199</f>
        <v>0.36430000000000001</v>
      </c>
    </row>
    <row r="62" spans="1:5" ht="15" customHeight="1" x14ac:dyDescent="0.25">
      <c r="A62" s="678"/>
      <c r="B62" s="676"/>
      <c r="C62" s="129" t="str">
        <f>'патриотика0,3643'!A200</f>
        <v>Договор осмотр технического состояния автомобиля</v>
      </c>
      <c r="D62" s="235" t="str">
        <f>'патриотика0,3643'!B200</f>
        <v>договор</v>
      </c>
      <c r="E62" s="235">
        <f>'патриотика0,3643'!D200</f>
        <v>76.503</v>
      </c>
    </row>
    <row r="63" spans="1:5" ht="15" customHeight="1" x14ac:dyDescent="0.25">
      <c r="A63" s="678"/>
      <c r="B63" s="676"/>
      <c r="C63" s="129" t="str">
        <f>'патриотика0,3643'!A201</f>
        <v>Техническое обслуживание систем пожарной сигнализации</v>
      </c>
      <c r="D63" s="235" t="str">
        <f>'патриотика0,3643'!B201</f>
        <v>договор</v>
      </c>
      <c r="E63" s="235">
        <f>'патриотика0,3643'!D201</f>
        <v>4.3715999999999999</v>
      </c>
    </row>
    <row r="64" spans="1:5" ht="15" customHeight="1" x14ac:dyDescent="0.25">
      <c r="A64" s="678"/>
      <c r="B64" s="676"/>
      <c r="C64" s="129" t="str">
        <f>'патриотика0,3643'!A202</f>
        <v>ремонт оборудования</v>
      </c>
      <c r="D64" s="235" t="str">
        <f>'патриотика0,3643'!B202</f>
        <v>договор</v>
      </c>
      <c r="E64" s="235">
        <f>'патриотика0,3643'!D202</f>
        <v>0</v>
      </c>
    </row>
    <row r="65" spans="1:5" ht="15" customHeight="1" x14ac:dyDescent="0.25">
      <c r="A65" s="678"/>
      <c r="B65" s="676"/>
      <c r="C65" s="129" t="str">
        <f>'патриотика0,3643'!A203</f>
        <v>Возмещение мед осмотра (112/212)</v>
      </c>
      <c r="D65" s="235" t="str">
        <f>'патриотика0,3643'!B203</f>
        <v>договор</v>
      </c>
      <c r="E65" s="235">
        <f>'патриотика0,3643'!D203</f>
        <v>1.0929</v>
      </c>
    </row>
    <row r="66" spans="1:5" ht="15" customHeight="1" x14ac:dyDescent="0.25">
      <c r="A66" s="678"/>
      <c r="B66" s="676"/>
      <c r="C66" s="129" t="str">
        <f>'патриотика0,3643'!A204</f>
        <v>Услуги СЕМИС подписка</v>
      </c>
      <c r="D66" s="235" t="str">
        <f>'патриотика0,3643'!B204</f>
        <v>договор</v>
      </c>
      <c r="E66" s="235">
        <f>'патриотика0,3643'!D204</f>
        <v>0.36430000000000001</v>
      </c>
    </row>
    <row r="67" spans="1:5" ht="15" customHeight="1" x14ac:dyDescent="0.25">
      <c r="A67" s="678"/>
      <c r="B67" s="676"/>
      <c r="C67" s="129" t="str">
        <f>'патриотика0,3643'!A205</f>
        <v>Предрейсовое медицинское обследование 200дней*85руб</v>
      </c>
      <c r="D67" s="235" t="str">
        <f>'патриотика0,3643'!B205</f>
        <v>договор</v>
      </c>
      <c r="E67" s="235">
        <f>'патриотика0,3643'!D205</f>
        <v>89.982100000000003</v>
      </c>
    </row>
    <row r="68" spans="1:5" ht="15" customHeight="1" x14ac:dyDescent="0.25">
      <c r="A68" s="678"/>
      <c r="B68" s="676"/>
      <c r="C68" s="129" t="str">
        <f>'патриотика0,3643'!A206</f>
        <v xml:space="preserve">Услуги охраны  </v>
      </c>
      <c r="D68" s="235" t="str">
        <f>'патриотика0,3643'!B206</f>
        <v>договор</v>
      </c>
      <c r="E68" s="235">
        <f>'патриотика0,3643'!D206</f>
        <v>4.3715999999999999</v>
      </c>
    </row>
    <row r="69" spans="1:5" ht="15" customHeight="1" x14ac:dyDescent="0.25">
      <c r="A69" s="678"/>
      <c r="B69" s="676"/>
      <c r="C69" s="129" t="str">
        <f>'патриотика0,3643'!A207</f>
        <v>Услуги мониторинга пожарной сигнализации</v>
      </c>
      <c r="D69" s="235" t="str">
        <f>'патриотика0,3643'!B207</f>
        <v>договор</v>
      </c>
      <c r="E69" s="235">
        <f>'патриотика0,3643'!D207</f>
        <v>4.3715999999999999</v>
      </c>
    </row>
    <row r="70" spans="1:5" ht="24.75" customHeight="1" x14ac:dyDescent="0.25">
      <c r="A70" s="678"/>
      <c r="B70" s="676"/>
      <c r="C70" s="129" t="str">
        <f>'патриотика0,3643'!A208</f>
        <v>Обслуживание систем охранных средств сигнализации (тревожная кнопка)</v>
      </c>
      <c r="D70" s="235" t="str">
        <f>'патриотика0,3643'!B208</f>
        <v>договор</v>
      </c>
      <c r="E70" s="235">
        <f>'патриотика0,3643'!D208</f>
        <v>4.3715999999999999</v>
      </c>
    </row>
    <row r="71" spans="1:5" ht="29.25" customHeight="1" x14ac:dyDescent="0.25">
      <c r="A71" s="678"/>
      <c r="B71" s="676"/>
      <c r="C71" s="129" t="str">
        <f>'патриотика0,3643'!A209</f>
        <v>Договор на медосмотр при устройстве на работу</v>
      </c>
      <c r="D71" s="235" t="e">
        <f>'патриотика0,3643'!#REF!</f>
        <v>#REF!</v>
      </c>
      <c r="E71" s="235">
        <f>'патриотика0,3643'!D209</f>
        <v>1.4572000000000001</v>
      </c>
    </row>
    <row r="72" spans="1:5" ht="15" customHeight="1" x14ac:dyDescent="0.25">
      <c r="A72" s="678"/>
      <c r="B72" s="676"/>
      <c r="C72" s="129" t="str">
        <f>'патриотика0,3643'!A210</f>
        <v>Страховая премия по полису ОСАГО за УАЗ</v>
      </c>
      <c r="D72" s="235" t="e">
        <f>'патриотика0,3643'!#REF!</f>
        <v>#REF!</v>
      </c>
      <c r="E72" s="235">
        <f>'патриотика0,3643'!D210</f>
        <v>0.36430000000000001</v>
      </c>
    </row>
    <row r="73" spans="1:5" ht="15" customHeight="1" x14ac:dyDescent="0.25">
      <c r="A73" s="678"/>
      <c r="B73" s="676"/>
      <c r="C73" s="129" t="str">
        <f>'патриотика0,3643'!A211</f>
        <v>Приобретение программного обеспечения</v>
      </c>
      <c r="D73" s="235" t="e">
        <f>'патриотика0,3643'!#REF!</f>
        <v>#REF!</v>
      </c>
      <c r="E73" s="235">
        <f>'патриотика0,3643'!D211</f>
        <v>0.36430000000000001</v>
      </c>
    </row>
    <row r="74" spans="1:5" ht="15" customHeight="1" x14ac:dyDescent="0.25">
      <c r="A74" s="678"/>
      <c r="B74" s="676"/>
      <c r="C74" s="129" t="str">
        <f>'патриотика0,3643'!A212</f>
        <v>Оплата пени, штрафов (853/291)</v>
      </c>
      <c r="D74" s="235" t="e">
        <f>'патриотика0,3643'!#REF!</f>
        <v>#REF!</v>
      </c>
      <c r="E74" s="235">
        <f>'патриотика0,3643'!D212</f>
        <v>1.8215000000000001</v>
      </c>
    </row>
    <row r="75" spans="1:5" ht="28.5" customHeight="1" x14ac:dyDescent="0.25">
      <c r="A75" s="678"/>
      <c r="B75" s="676"/>
      <c r="C75" s="129" t="str">
        <f>'патриотика0,3643'!A213</f>
        <v>ИТОГО СОДЕРЖАНИЕ ОБЪЕКТОВ НЕДВИЖ. ИМУЩЕСТВА</v>
      </c>
      <c r="D75" s="235" t="e">
        <f>'патриотика0,3643'!#REF!</f>
        <v>#REF!</v>
      </c>
      <c r="E75" s="235">
        <f>'патриотика0,3643'!D213</f>
        <v>0.36430000000000001</v>
      </c>
    </row>
    <row r="76" spans="1:5" ht="15" customHeight="1" x14ac:dyDescent="0.25">
      <c r="A76" s="678"/>
      <c r="B76" s="676"/>
      <c r="C76" s="129" t="e">
        <f>'патриотика0,3643'!#REF!</f>
        <v>#REF!</v>
      </c>
      <c r="D76" s="235" t="e">
        <f>'патриотика0,3643'!#REF!</f>
        <v>#REF!</v>
      </c>
      <c r="E76" s="235" t="e">
        <f>'патриотика0,3643'!#REF!</f>
        <v>#REF!</v>
      </c>
    </row>
    <row r="77" spans="1:5" ht="15" customHeight="1" x14ac:dyDescent="0.25">
      <c r="A77" s="678"/>
      <c r="B77" s="676"/>
      <c r="C77" s="129" t="e">
        <f>'патриотика0,3643'!#REF!</f>
        <v>#REF!</v>
      </c>
      <c r="D77" s="235" t="e">
        <f>'патриотика0,3643'!#REF!</f>
        <v>#REF!</v>
      </c>
      <c r="E77" s="235" t="e">
        <f>'патриотика0,3643'!#REF!</f>
        <v>#REF!</v>
      </c>
    </row>
    <row r="78" spans="1:5" ht="15" hidden="1" customHeight="1" x14ac:dyDescent="0.25">
      <c r="A78" s="678"/>
      <c r="B78" s="676"/>
      <c r="C78" s="129" t="e">
        <f>'патриотика0,3643'!#REF!</f>
        <v>#REF!</v>
      </c>
      <c r="D78" s="235" t="e">
        <f>'патриотика0,3643'!#REF!</f>
        <v>#REF!</v>
      </c>
      <c r="E78" s="235" t="e">
        <f>'патриотика0,3643'!#REF!</f>
        <v>#REF!</v>
      </c>
    </row>
    <row r="79" spans="1:5" ht="15" hidden="1" customHeight="1" x14ac:dyDescent="0.25">
      <c r="A79" s="678"/>
      <c r="B79" s="676"/>
      <c r="C79" s="129" t="e">
        <f>'патриотика0,3643'!#REF!</f>
        <v>#REF!</v>
      </c>
      <c r="D79" s="235" t="e">
        <f>D78</f>
        <v>#REF!</v>
      </c>
      <c r="E79" s="235" t="e">
        <f>'патриотика0,3643'!#REF!</f>
        <v>#REF!</v>
      </c>
    </row>
    <row r="80" spans="1:5" ht="15" hidden="1" customHeight="1" x14ac:dyDescent="0.25">
      <c r="A80" s="678"/>
      <c r="B80" s="676"/>
      <c r="C80" s="129" t="e">
        <f>'патриотика0,3643'!#REF!</f>
        <v>#REF!</v>
      </c>
      <c r="D80" s="235" t="e">
        <f>D78</f>
        <v>#REF!</v>
      </c>
      <c r="E80" s="235" t="e">
        <f>'патриотика0,3643'!#REF!</f>
        <v>#REF!</v>
      </c>
    </row>
    <row r="81" spans="1:5" ht="15" hidden="1" customHeight="1" x14ac:dyDescent="0.25">
      <c r="A81" s="678"/>
      <c r="B81" s="676"/>
      <c r="C81" s="129" t="e">
        <f>'патриотика0,3643'!#REF!</f>
        <v>#REF!</v>
      </c>
      <c r="D81" s="235" t="e">
        <f>D78</f>
        <v>#REF!</v>
      </c>
      <c r="E81" s="235" t="e">
        <f>'патриотика0,3643'!#REF!</f>
        <v>#REF!</v>
      </c>
    </row>
    <row r="82" spans="1:5" ht="15" hidden="1" customHeight="1" x14ac:dyDescent="0.25">
      <c r="A82" s="678"/>
      <c r="B82" s="676"/>
      <c r="C82" s="129" t="e">
        <f>'патриотика0,3643'!#REF!</f>
        <v>#REF!</v>
      </c>
      <c r="D82" s="235" t="e">
        <f>D78</f>
        <v>#REF!</v>
      </c>
      <c r="E82" s="235" t="e">
        <f>'патриотика0,3643'!#REF!</f>
        <v>#REF!</v>
      </c>
    </row>
    <row r="83" spans="1:5" ht="15" hidden="1" customHeight="1" x14ac:dyDescent="0.25">
      <c r="A83" s="678"/>
      <c r="B83" s="676"/>
      <c r="C83" s="129" t="e">
        <f>'патриотика0,3643'!#REF!</f>
        <v>#REF!</v>
      </c>
      <c r="D83" s="235" t="e">
        <f>D78</f>
        <v>#REF!</v>
      </c>
      <c r="E83" s="235" t="e">
        <f>'патриотика0,3643'!#REF!</f>
        <v>#REF!</v>
      </c>
    </row>
    <row r="84" spans="1:5" ht="15" hidden="1" customHeight="1" x14ac:dyDescent="0.25">
      <c r="A84" s="678"/>
      <c r="B84" s="676"/>
      <c r="C84" s="129" t="e">
        <f>'патриотика0,3643'!#REF!</f>
        <v>#REF!</v>
      </c>
      <c r="D84" s="235" t="e">
        <f>D78</f>
        <v>#REF!</v>
      </c>
      <c r="E84" s="235" t="e">
        <f>'патриотика0,3643'!#REF!</f>
        <v>#REF!</v>
      </c>
    </row>
    <row r="85" spans="1:5" ht="15" hidden="1" customHeight="1" x14ac:dyDescent="0.25">
      <c r="A85" s="678"/>
      <c r="B85" s="676"/>
      <c r="C85" s="129" t="e">
        <f>'патриотика0,3643'!#REF!</f>
        <v>#REF!</v>
      </c>
      <c r="D85" s="235" t="str">
        <f>'патриотика0,3643'!B221</f>
        <v>шт</v>
      </c>
      <c r="E85" s="235" t="e">
        <f>'патриотика0,3643'!#REF!</f>
        <v>#REF!</v>
      </c>
    </row>
    <row r="86" spans="1:5" ht="15" hidden="1" customHeight="1" x14ac:dyDescent="0.25">
      <c r="A86" s="678"/>
      <c r="B86" s="676"/>
      <c r="C86" s="129" t="e">
        <f>'патриотика0,3643'!#REF!</f>
        <v>#REF!</v>
      </c>
      <c r="D86" s="235" t="str">
        <f>'патриотика0,3643'!B223</f>
        <v>шт</v>
      </c>
      <c r="E86" s="235" t="e">
        <f>'патриотика0,3643'!#REF!</f>
        <v>#REF!</v>
      </c>
    </row>
    <row r="87" spans="1:5" ht="15" hidden="1" customHeight="1" x14ac:dyDescent="0.25">
      <c r="A87" s="678"/>
      <c r="B87" s="676"/>
      <c r="C87" s="129" t="e">
        <f>'патриотика0,3643'!#REF!</f>
        <v>#REF!</v>
      </c>
      <c r="D87" s="235" t="str">
        <f>'патриотика0,3643'!B225</f>
        <v>шт</v>
      </c>
      <c r="E87" s="235" t="e">
        <f>'патриотика0,3643'!#REF!</f>
        <v>#REF!</v>
      </c>
    </row>
    <row r="88" spans="1:5" ht="15" hidden="1" customHeight="1" x14ac:dyDescent="0.25">
      <c r="A88" s="678"/>
      <c r="B88" s="676"/>
      <c r="C88" s="129" t="e">
        <f>'патриотика0,3643'!#REF!</f>
        <v>#REF!</v>
      </c>
      <c r="D88" s="235" t="str">
        <f>'патриотика0,3643'!B226</f>
        <v>шт</v>
      </c>
      <c r="E88" s="235" t="e">
        <f>'патриотика0,3643'!#REF!</f>
        <v>#REF!</v>
      </c>
    </row>
    <row r="89" spans="1:5" ht="15" hidden="1" customHeight="1" x14ac:dyDescent="0.25">
      <c r="A89" s="678"/>
      <c r="B89" s="676"/>
      <c r="C89" s="129" t="e">
        <f>'патриотика0,3643'!#REF!</f>
        <v>#REF!</v>
      </c>
      <c r="D89" s="235" t="str">
        <f>'патриотика0,3643'!B227</f>
        <v>шт</v>
      </c>
      <c r="E89" s="235" t="e">
        <f>'патриотика0,3643'!#REF!</f>
        <v>#REF!</v>
      </c>
    </row>
    <row r="90" spans="1:5" ht="12" customHeight="1" x14ac:dyDescent="0.25">
      <c r="A90" s="678"/>
      <c r="B90" s="676"/>
      <c r="C90" s="682" t="s">
        <v>138</v>
      </c>
      <c r="D90" s="683"/>
      <c r="E90" s="684"/>
    </row>
    <row r="91" spans="1:5" ht="14.45" customHeight="1" x14ac:dyDescent="0.25">
      <c r="A91" s="678"/>
      <c r="B91" s="676"/>
      <c r="C91" s="130" t="str">
        <f>'инновации+добровольчество0,3643'!A132</f>
        <v>переговоры по району, мин</v>
      </c>
      <c r="D91" s="94" t="s">
        <v>86</v>
      </c>
      <c r="E91" s="216">
        <f>'патриотика0,3643'!D178</f>
        <v>94.546778999999987</v>
      </c>
    </row>
    <row r="92" spans="1:5" ht="12" customHeight="1" x14ac:dyDescent="0.25">
      <c r="A92" s="678"/>
      <c r="B92" s="676"/>
      <c r="C92" s="130" t="str">
        <f>'инновации+добровольчество0,3643'!A133</f>
        <v>Переговоры за пределами района,мин</v>
      </c>
      <c r="D92" s="94" t="s">
        <v>22</v>
      </c>
      <c r="E92" s="216">
        <f>'патриотика0,3643'!D179</f>
        <v>5.4645000000000001</v>
      </c>
    </row>
    <row r="93" spans="1:5" ht="12" customHeight="1" x14ac:dyDescent="0.25">
      <c r="A93" s="678"/>
      <c r="B93" s="676"/>
      <c r="C93" s="130" t="str">
        <f>'инновации+добровольчество0,3643'!A134</f>
        <v>Абоненская плата за услуги связи, номеров</v>
      </c>
      <c r="D93" s="94" t="s">
        <v>37</v>
      </c>
      <c r="E93" s="216">
        <f>'патриотика0,3643'!D180</f>
        <v>0.36430000000000001</v>
      </c>
    </row>
    <row r="94" spans="1:5" ht="12" customHeight="1" x14ac:dyDescent="0.25">
      <c r="A94" s="678"/>
      <c r="B94" s="676"/>
      <c r="C94" s="130" t="str">
        <f>'инновации+добровольчество0,3643'!A135</f>
        <v xml:space="preserve">Абоненская плата за услуги Интернет </v>
      </c>
      <c r="D94" s="94" t="s">
        <v>37</v>
      </c>
      <c r="E94" s="216">
        <f>'патриотика0,3643'!D181</f>
        <v>0.36430000000000001</v>
      </c>
    </row>
    <row r="95" spans="1:5" ht="12" customHeight="1" x14ac:dyDescent="0.25">
      <c r="A95" s="678"/>
      <c r="B95" s="676"/>
      <c r="C95" s="130" t="str">
        <f>'инновации+добровольчество0,3643'!A136</f>
        <v>Почтовые конверты</v>
      </c>
      <c r="D95" s="94" t="s">
        <v>38</v>
      </c>
      <c r="E95" s="216">
        <v>0</v>
      </c>
    </row>
    <row r="96" spans="1:5" ht="12" hidden="1" customHeight="1" x14ac:dyDescent="0.25">
      <c r="A96" s="678"/>
      <c r="B96" s="676"/>
      <c r="C96" s="130" t="e">
        <f>'инновации+добровольчество0,3643'!#REF!</f>
        <v>#REF!</v>
      </c>
      <c r="D96" s="94" t="s">
        <v>38</v>
      </c>
      <c r="E96" s="216" t="e">
        <f>'патриотика0,3643'!#REF!</f>
        <v>#REF!</v>
      </c>
    </row>
    <row r="97" spans="1:5" ht="12" hidden="1" customHeight="1" x14ac:dyDescent="0.25">
      <c r="A97" s="678"/>
      <c r="B97" s="676"/>
      <c r="C97" s="130" t="e">
        <f>'инновации+добровольчество0,3643'!#REF!</f>
        <v>#REF!</v>
      </c>
      <c r="D97" s="94" t="s">
        <v>22</v>
      </c>
      <c r="E97" s="216" t="e">
        <f>'патриотика0,3643'!#REF!</f>
        <v>#REF!</v>
      </c>
    </row>
    <row r="98" spans="1:5" ht="22.5" customHeight="1" x14ac:dyDescent="0.25">
      <c r="A98" s="678"/>
      <c r="B98" s="676"/>
      <c r="C98" s="661" t="s">
        <v>139</v>
      </c>
      <c r="D98" s="662"/>
      <c r="E98" s="663"/>
    </row>
    <row r="99" spans="1:5" ht="21" customHeight="1" x14ac:dyDescent="0.25">
      <c r="A99" s="678"/>
      <c r="B99" s="676"/>
      <c r="C99" s="103" t="str">
        <f>'натур показатели инновации+добр'!C82</f>
        <v>Заведующий МЦ</v>
      </c>
      <c r="D99" s="131" t="s">
        <v>143</v>
      </c>
      <c r="E99" s="206">
        <f>'патриотика0,3643'!D115</f>
        <v>0.36430000000000001</v>
      </c>
    </row>
    <row r="100" spans="1:5" ht="12" customHeight="1" x14ac:dyDescent="0.25">
      <c r="A100" s="678"/>
      <c r="B100" s="676"/>
      <c r="C100" s="111" t="s">
        <v>141</v>
      </c>
      <c r="D100" s="131" t="s">
        <v>134</v>
      </c>
      <c r="E100" s="206">
        <f>'патриотика0,3643'!D116</f>
        <v>0.36430000000000001</v>
      </c>
    </row>
    <row r="101" spans="1:5" ht="12" customHeight="1" x14ac:dyDescent="0.25">
      <c r="A101" s="678"/>
      <c r="B101" s="676"/>
      <c r="C101" s="111" t="s">
        <v>87</v>
      </c>
      <c r="D101" s="131" t="s">
        <v>134</v>
      </c>
      <c r="E101" s="206">
        <f>'патриотика0,3643'!D117</f>
        <v>0.18215000000000001</v>
      </c>
    </row>
    <row r="102" spans="1:5" ht="12" customHeight="1" x14ac:dyDescent="0.25">
      <c r="A102" s="678"/>
      <c r="B102" s="676"/>
      <c r="C102" s="111" t="s">
        <v>142</v>
      </c>
      <c r="D102" s="131" t="s">
        <v>134</v>
      </c>
      <c r="E102" s="206">
        <f>'патриотика0,3643'!D118</f>
        <v>0.36430000000000001</v>
      </c>
    </row>
    <row r="103" spans="1:5" ht="12" customHeight="1" x14ac:dyDescent="0.25">
      <c r="A103" s="678"/>
      <c r="B103" s="676"/>
      <c r="C103" s="506" t="s">
        <v>146</v>
      </c>
      <c r="D103" s="507"/>
      <c r="E103" s="508"/>
    </row>
    <row r="104" spans="1:5" ht="28.15" customHeight="1" x14ac:dyDescent="0.25">
      <c r="A104" s="678"/>
      <c r="B104" s="676"/>
      <c r="C104" s="380" t="str">
        <f>'инновации+добровольчество0,3643'!A102</f>
        <v>Пособие по уходу за ребенком до 3-х лет</v>
      </c>
      <c r="D104" s="113" t="s">
        <v>122</v>
      </c>
      <c r="E104" s="217">
        <f>E99</f>
        <v>0.36430000000000001</v>
      </c>
    </row>
    <row r="105" spans="1:5" ht="25.9" hidden="1" customHeight="1" x14ac:dyDescent="0.25">
      <c r="A105" s="678"/>
      <c r="B105" s="676"/>
      <c r="C105" s="661" t="s">
        <v>147</v>
      </c>
      <c r="D105" s="662"/>
      <c r="E105" s="663"/>
    </row>
    <row r="106" spans="1:5" ht="40.15" hidden="1" customHeight="1" x14ac:dyDescent="0.25">
      <c r="A106" s="678"/>
      <c r="B106" s="676"/>
      <c r="C106" s="112" t="s">
        <v>196</v>
      </c>
      <c r="D106" s="94" t="s">
        <v>39</v>
      </c>
      <c r="E106" s="214">
        <f>'патриотика0,3643'!E169</f>
        <v>33.515599999999999</v>
      </c>
    </row>
    <row r="107" spans="1:5" ht="25.9" hidden="1" customHeight="1" x14ac:dyDescent="0.25">
      <c r="A107" s="678"/>
      <c r="B107" s="676"/>
      <c r="C107" s="112" t="s">
        <v>197</v>
      </c>
      <c r="D107" s="94" t="s">
        <v>39</v>
      </c>
      <c r="E107" s="214">
        <f>'патриотика0,3643'!E170</f>
        <v>8.3788999999999998</v>
      </c>
    </row>
    <row r="108" spans="1:5" ht="24" hidden="1" customHeight="1" x14ac:dyDescent="0.25">
      <c r="A108" s="678"/>
      <c r="B108" s="676"/>
      <c r="C108" s="112" t="s">
        <v>198</v>
      </c>
      <c r="D108" s="94" t="s">
        <v>39</v>
      </c>
      <c r="E108" s="214">
        <f>'патриотика0,3643'!E171</f>
        <v>25.136700000000001</v>
      </c>
    </row>
    <row r="109" spans="1:5" ht="21" customHeight="1" x14ac:dyDescent="0.25">
      <c r="A109" s="678"/>
      <c r="B109" s="676"/>
      <c r="C109" s="509" t="s">
        <v>148</v>
      </c>
      <c r="D109" s="510"/>
      <c r="E109" s="511"/>
    </row>
    <row r="110" spans="1:5" ht="18.600000000000001" customHeight="1" x14ac:dyDescent="0.25">
      <c r="A110" s="678"/>
      <c r="B110" s="676"/>
      <c r="C110" s="114" t="str">
        <f>'инновации+добровольчество0,3643'!A144</f>
        <v>Провоз груза 2000 кг (1 кг=9,50 руб)</v>
      </c>
      <c r="D110" s="115" t="s">
        <v>22</v>
      </c>
      <c r="E110" s="79">
        <f>'патриотика0,3643'!D189</f>
        <v>0.36430000000000001</v>
      </c>
    </row>
    <row r="111" spans="1:5" ht="12" customHeight="1" x14ac:dyDescent="0.25">
      <c r="A111" s="678"/>
      <c r="B111" s="676"/>
      <c r="C111" s="682" t="s">
        <v>149</v>
      </c>
      <c r="D111" s="683"/>
      <c r="E111" s="684"/>
    </row>
    <row r="112" spans="1:5" ht="14.45" customHeight="1" x14ac:dyDescent="0.25">
      <c r="A112" s="678"/>
      <c r="B112" s="676"/>
      <c r="C112" s="105" t="str">
        <f>'патриотика0,3643'!A220</f>
        <v>Обучение персонала</v>
      </c>
      <c r="D112" s="63" t="str">
        <f>'натур показатели инновации+добр'!D98</f>
        <v>шт</v>
      </c>
      <c r="E112" s="160">
        <f>'патриотика0,3643'!D220</f>
        <v>0.36430000000000001</v>
      </c>
    </row>
    <row r="113" spans="1:5" ht="14.45" customHeight="1" x14ac:dyDescent="0.25">
      <c r="A113" s="678"/>
      <c r="B113" s="676"/>
      <c r="C113" s="105" t="str">
        <f>'патриотика0,3643'!A221</f>
        <v>Блок фотобарабана</v>
      </c>
      <c r="D113" s="63" t="str">
        <f>'натур показатели инновации+добр'!D99</f>
        <v>шт</v>
      </c>
      <c r="E113" s="160">
        <f>'патриотика0,3643'!D221</f>
        <v>0.72860000000000003</v>
      </c>
    </row>
    <row r="114" spans="1:5" ht="15" customHeight="1" x14ac:dyDescent="0.25">
      <c r="A114" s="678"/>
      <c r="B114" s="676"/>
      <c r="C114" s="105" t="str">
        <f>'патриотика0,3643'!A222</f>
        <v>Чкрнила для принтера</v>
      </c>
      <c r="D114" s="63" t="str">
        <f>'натур показатели инновации+добр'!D100</f>
        <v>шт</v>
      </c>
      <c r="E114" s="160">
        <f>'патриотика0,3643'!D222</f>
        <v>2.9144000000000001</v>
      </c>
    </row>
    <row r="115" spans="1:5" ht="16.5" customHeight="1" x14ac:dyDescent="0.25">
      <c r="A115" s="678"/>
      <c r="B115" s="676"/>
      <c r="C115" s="105" t="str">
        <f>'патриотика0,3643'!A223</f>
        <v>картридж</v>
      </c>
      <c r="D115" s="63" t="str">
        <f>'натур показатели инновации+добр'!D101</f>
        <v>шт</v>
      </c>
      <c r="E115" s="160">
        <f>'патриотика0,3643'!D223</f>
        <v>1.4572000000000001</v>
      </c>
    </row>
    <row r="116" spans="1:5" ht="12" customHeight="1" x14ac:dyDescent="0.25">
      <c r="A116" s="678"/>
      <c r="B116" s="676"/>
      <c r="C116" s="105" t="str">
        <f>'патриотика0,3643'!A224</f>
        <v>Комплектующие для настольных игр</v>
      </c>
      <c r="D116" s="63" t="str">
        <f>'натур показатели инновации+добр'!D102</f>
        <v>шт</v>
      </c>
      <c r="E116" s="160">
        <f>'патриотика0,3643'!D224</f>
        <v>12.0219</v>
      </c>
    </row>
    <row r="117" spans="1:5" ht="12" customHeight="1" x14ac:dyDescent="0.25">
      <c r="A117" s="678"/>
      <c r="B117" s="676"/>
      <c r="C117" s="105" t="str">
        <f>'патриотика0,3643'!A225</f>
        <v>Настольные игры</v>
      </c>
      <c r="D117" s="63" t="str">
        <f>'натур показатели инновации+добр'!D103</f>
        <v>шт</v>
      </c>
      <c r="E117" s="160">
        <f>'патриотика0,3643'!D225</f>
        <v>3.6430000000000002</v>
      </c>
    </row>
    <row r="118" spans="1:5" ht="12" customHeight="1" x14ac:dyDescent="0.25">
      <c r="A118" s="678"/>
      <c r="B118" s="676"/>
      <c r="C118" s="105" t="str">
        <f>'патриотика0,3643'!A226</f>
        <v xml:space="preserve">Батарейка </v>
      </c>
      <c r="D118" s="63" t="str">
        <f>'натур показатели инновации+добр'!D104</f>
        <v>шт</v>
      </c>
      <c r="E118" s="160">
        <f>'патриотика0,3643'!D226</f>
        <v>3.2787000000000002</v>
      </c>
    </row>
    <row r="119" spans="1:5" ht="12" customHeight="1" x14ac:dyDescent="0.25">
      <c r="A119" s="678"/>
      <c r="B119" s="676"/>
      <c r="C119" s="105" t="str">
        <f>'патриотика0,3643'!A227</f>
        <v>блок для записей</v>
      </c>
      <c r="D119" s="63" t="str">
        <f>'натур показатели инновации+добр'!D105</f>
        <v>шт</v>
      </c>
      <c r="E119" s="160">
        <f>'патриотика0,3643'!D227</f>
        <v>1.0929</v>
      </c>
    </row>
    <row r="120" spans="1:5" ht="12" customHeight="1" x14ac:dyDescent="0.25">
      <c r="A120" s="678"/>
      <c r="B120" s="676"/>
      <c r="C120" s="105" t="str">
        <f>'патриотика0,3643'!A228</f>
        <v>бумага туал</v>
      </c>
      <c r="D120" s="63" t="str">
        <f>'натур показатели инновации+добр'!D106</f>
        <v>шт</v>
      </c>
      <c r="E120" s="160">
        <f>'патриотика0,3643'!D228</f>
        <v>34.972799999999999</v>
      </c>
    </row>
    <row r="121" spans="1:5" ht="22.15" customHeight="1" x14ac:dyDescent="0.25">
      <c r="A121" s="678"/>
      <c r="B121" s="676"/>
      <c r="C121" s="105" t="str">
        <f>'патриотика0,3643'!A229</f>
        <v>губка-ластик</v>
      </c>
      <c r="D121" s="63" t="str">
        <f>'натур показатели инновации+добр'!D107</f>
        <v>шт</v>
      </c>
      <c r="E121" s="160">
        <f>'патриотика0,3643'!D229</f>
        <v>0.72860000000000003</v>
      </c>
    </row>
    <row r="122" spans="1:5" ht="12" customHeight="1" x14ac:dyDescent="0.25">
      <c r="A122" s="678"/>
      <c r="B122" s="676"/>
      <c r="C122" s="105" t="str">
        <f>'патриотика0,3643'!A230</f>
        <v>доска-планшет</v>
      </c>
      <c r="D122" s="63" t="str">
        <f>'натур показатели инновации+добр'!D108</f>
        <v>шт</v>
      </c>
      <c r="E122" s="160">
        <f>'патриотика0,3643'!D230</f>
        <v>7.2860000000000005</v>
      </c>
    </row>
    <row r="123" spans="1:5" ht="22.15" customHeight="1" x14ac:dyDescent="0.25">
      <c r="A123" s="678"/>
      <c r="B123" s="676"/>
      <c r="C123" s="105" t="str">
        <f>'патриотика0,3643'!A231</f>
        <v>закладки</v>
      </c>
      <c r="D123" s="63" t="str">
        <f>'натур показатели инновации+добр'!D109</f>
        <v>шт</v>
      </c>
      <c r="E123" s="160">
        <f>'патриотика0,3643'!D231</f>
        <v>0.72860000000000003</v>
      </c>
    </row>
    <row r="124" spans="1:5" ht="15.75" customHeight="1" x14ac:dyDescent="0.25">
      <c r="A124" s="678"/>
      <c r="B124" s="676"/>
      <c r="C124" s="105" t="str">
        <f>'патриотика0,3643'!A232</f>
        <v>карандаш</v>
      </c>
      <c r="D124" s="63" t="str">
        <f>'натур показатели инновации+добр'!D110</f>
        <v>шт</v>
      </c>
      <c r="E124" s="160">
        <f>'патриотика0,3643'!D232</f>
        <v>36.43</v>
      </c>
    </row>
    <row r="125" spans="1:5" ht="13.5" customHeight="1" x14ac:dyDescent="0.25">
      <c r="A125" s="678"/>
      <c r="B125" s="676"/>
      <c r="C125" s="105" t="str">
        <f>'патриотика0,3643'!A233</f>
        <v>клей</v>
      </c>
      <c r="D125" s="63" t="str">
        <f>'натур показатели инновации+добр'!D111</f>
        <v>шт</v>
      </c>
      <c r="E125" s="160">
        <f>'патриотика0,3643'!D233</f>
        <v>20.4008</v>
      </c>
    </row>
    <row r="126" spans="1:5" ht="12" customHeight="1" x14ac:dyDescent="0.25">
      <c r="A126" s="678"/>
      <c r="B126" s="676"/>
      <c r="C126" s="105" t="str">
        <f>'патриотика0,3643'!A234</f>
        <v>книга отзывов</v>
      </c>
      <c r="D126" s="63" t="str">
        <f>'натур показатели инновации+добр'!D112</f>
        <v>шт</v>
      </c>
      <c r="E126" s="160">
        <f>'патриотика0,3643'!D234</f>
        <v>0.72860000000000003</v>
      </c>
    </row>
    <row r="127" spans="1:5" ht="12" customHeight="1" x14ac:dyDescent="0.25">
      <c r="A127" s="678"/>
      <c r="B127" s="676"/>
      <c r="C127" s="105" t="str">
        <f>'патриотика0,3643'!A235</f>
        <v>лампа светодиод</v>
      </c>
      <c r="D127" s="63" t="str">
        <f>'натур показатели инновации+добр'!D113</f>
        <v>шт</v>
      </c>
      <c r="E127" s="160">
        <f>'патриотика0,3643'!D235</f>
        <v>3.6430000000000002</v>
      </c>
    </row>
    <row r="128" spans="1:5" ht="12" customHeight="1" x14ac:dyDescent="0.25">
      <c r="A128" s="678"/>
      <c r="B128" s="676"/>
      <c r="C128" s="105" t="str">
        <f>'патриотика0,3643'!A236</f>
        <v>кнопки</v>
      </c>
      <c r="D128" s="63" t="str">
        <f>'натур показатели инновации+добр'!D114</f>
        <v>шт</v>
      </c>
      <c r="E128" s="160">
        <f>'патриотика0,3643'!D236</f>
        <v>3.6430000000000002</v>
      </c>
    </row>
    <row r="129" spans="1:5" ht="12" customHeight="1" x14ac:dyDescent="0.25">
      <c r="A129" s="678"/>
      <c r="B129" s="676"/>
      <c r="C129" s="105" t="str">
        <f>'патриотика0,3643'!A237</f>
        <v>магниты, маркеры</v>
      </c>
      <c r="D129" s="63" t="str">
        <f>'натур показатели инновации+добр'!D115</f>
        <v>шт</v>
      </c>
      <c r="E129" s="160">
        <f>'патриотика0,3643'!D237</f>
        <v>17.8507</v>
      </c>
    </row>
    <row r="130" spans="1:5" ht="12" customHeight="1" x14ac:dyDescent="0.25">
      <c r="A130" s="678"/>
      <c r="B130" s="676"/>
      <c r="C130" s="105" t="str">
        <f>'патриотика0,3643'!A238</f>
        <v>мешки мусор</v>
      </c>
      <c r="D130" s="63" t="str">
        <f>'натур показатели инновации+добр'!D116</f>
        <v>шт</v>
      </c>
      <c r="E130" s="160">
        <f>'патриотика0,3643'!D238</f>
        <v>17.1221</v>
      </c>
    </row>
    <row r="131" spans="1:5" ht="12" customHeight="1" x14ac:dyDescent="0.25">
      <c r="A131" s="678"/>
      <c r="B131" s="676"/>
      <c r="C131" s="105" t="str">
        <f>'патриотика0,3643'!A239</f>
        <v>мыло крем</v>
      </c>
      <c r="D131" s="63" t="str">
        <f>'натур показатели инновации+добр'!D117</f>
        <v>шт</v>
      </c>
      <c r="E131" s="160">
        <f>'патриотика0,3643'!D239</f>
        <v>0.36430000000000001</v>
      </c>
    </row>
    <row r="132" spans="1:5" ht="12" customHeight="1" x14ac:dyDescent="0.25">
      <c r="A132" s="678"/>
      <c r="B132" s="676"/>
      <c r="C132" s="105" t="str">
        <f>'патриотика0,3643'!A240</f>
        <v>текстовыделитель, нож макет</v>
      </c>
      <c r="D132" s="63" t="str">
        <f>'натур показатели инновации+добр'!D118</f>
        <v>шт</v>
      </c>
      <c r="E132" s="160">
        <f>'патриотика0,3643'!D240</f>
        <v>1.8215000000000001</v>
      </c>
    </row>
    <row r="133" spans="1:5" ht="12" customHeight="1" x14ac:dyDescent="0.25">
      <c r="A133" s="678"/>
      <c r="B133" s="676"/>
      <c r="C133" s="105" t="str">
        <f>'патриотика0,3643'!A241</f>
        <v>освежитель</v>
      </c>
      <c r="D133" s="63" t="str">
        <f>'натур показатели инновации+добр'!D119</f>
        <v>шт</v>
      </c>
      <c r="E133" s="160">
        <f>'патриотика0,3643'!D241</f>
        <v>5.4645000000000001</v>
      </c>
    </row>
    <row r="134" spans="1:5" ht="12" customHeight="1" x14ac:dyDescent="0.25">
      <c r="A134" s="678"/>
      <c r="B134" s="676"/>
      <c r="C134" s="105" t="str">
        <f>'патриотика0,3643'!A242</f>
        <v>папка</v>
      </c>
      <c r="D134" s="63" t="str">
        <f>'натур показатели инновации+добр'!D120</f>
        <v>шт</v>
      </c>
      <c r="E134" s="160">
        <f>'патриотика0,3643'!D242</f>
        <v>38.9801</v>
      </c>
    </row>
    <row r="135" spans="1:5" ht="12" customHeight="1" x14ac:dyDescent="0.25">
      <c r="A135" s="678"/>
      <c r="B135" s="676"/>
      <c r="C135" s="105" t="str">
        <f>'патриотика0,3643'!A243</f>
        <v>перчатки, полотенца, салфетки</v>
      </c>
      <c r="D135" s="63" t="str">
        <f>'натур показатели инновации+добр'!D121</f>
        <v>шт</v>
      </c>
      <c r="E135" s="160">
        <f>'патриотика0,3643'!D243</f>
        <v>18.215</v>
      </c>
    </row>
    <row r="136" spans="1:5" ht="12" customHeight="1" x14ac:dyDescent="0.25">
      <c r="A136" s="678"/>
      <c r="B136" s="676"/>
      <c r="C136" s="105" t="str">
        <f>'патриотика0,3643'!A244</f>
        <v>свечи</v>
      </c>
      <c r="D136" s="63" t="str">
        <f>'натур показатели инновации+добр'!D122</f>
        <v>шт</v>
      </c>
      <c r="E136" s="160">
        <f>'патриотика0,3643'!D244</f>
        <v>0.72860000000000003</v>
      </c>
    </row>
    <row r="137" spans="1:5" ht="12" customHeight="1" x14ac:dyDescent="0.25">
      <c r="A137" s="678"/>
      <c r="B137" s="676"/>
      <c r="C137" s="105" t="str">
        <f>'патриотика0,3643'!A245</f>
        <v>кнопки, скобы</v>
      </c>
      <c r="D137" s="63" t="str">
        <f>'натур показатели инновации+добр'!D123</f>
        <v>шт</v>
      </c>
      <c r="E137" s="160">
        <f>'патриотика0,3643'!D245</f>
        <v>69.216999999999999</v>
      </c>
    </row>
    <row r="138" spans="1:5" ht="12" customHeight="1" x14ac:dyDescent="0.25">
      <c r="A138" s="678"/>
      <c r="B138" s="676"/>
      <c r="C138" s="105" t="str">
        <f>'патриотика0,3643'!A246</f>
        <v>моющие ср-ва</v>
      </c>
      <c r="D138" s="63" t="str">
        <f>'натур показатели инновации+добр'!D124</f>
        <v>шт</v>
      </c>
      <c r="E138" s="160">
        <f>'патриотика0,3643'!D246</f>
        <v>0.72860000000000003</v>
      </c>
    </row>
    <row r="139" spans="1:5" ht="12" customHeight="1" x14ac:dyDescent="0.25">
      <c r="A139" s="678"/>
      <c r="B139" s="676"/>
      <c r="C139" s="105" t="str">
        <f>'патриотика0,3643'!A247</f>
        <v>хомуты</v>
      </c>
      <c r="D139" s="63" t="str">
        <f>'натур показатели инновации+добр'!D125</f>
        <v>шт</v>
      </c>
      <c r="E139" s="160">
        <f>'патриотика0,3643'!D247</f>
        <v>1.8215000000000001</v>
      </c>
    </row>
    <row r="140" spans="1:5" ht="12" customHeight="1" x14ac:dyDescent="0.25">
      <c r="A140" s="678"/>
      <c r="B140" s="676"/>
      <c r="C140" s="105" t="str">
        <f>'патриотика0,3643'!A248</f>
        <v>чистящие ср-ва</v>
      </c>
      <c r="D140" s="63" t="str">
        <f>'натур показатели инновации+добр'!D126</f>
        <v>шт</v>
      </c>
      <c r="E140" s="160">
        <f>'патриотика0,3643'!D248</f>
        <v>3.6430000000000002</v>
      </c>
    </row>
    <row r="141" spans="1:5" ht="12" customHeight="1" x14ac:dyDescent="0.25">
      <c r="A141" s="678"/>
      <c r="B141" s="676"/>
      <c r="C141" s="105" t="str">
        <f>'патриотика0,3643'!A249</f>
        <v>шпагат</v>
      </c>
      <c r="D141" s="63" t="str">
        <f>'натур показатели инновации+добр'!D127</f>
        <v>шт</v>
      </c>
      <c r="E141" s="160">
        <f>'патриотика0,3643'!D249</f>
        <v>0.72860000000000003</v>
      </c>
    </row>
    <row r="142" spans="1:5" ht="12" customHeight="1" x14ac:dyDescent="0.25">
      <c r="A142" s="678"/>
      <c r="B142" s="676"/>
      <c r="C142" s="105" t="str">
        <f>'патриотика0,3643'!A250</f>
        <v>Флаг парус 3650*815</v>
      </c>
      <c r="D142" s="63" t="str">
        <f>'натур показатели инновации+добр'!D128</f>
        <v>шт</v>
      </c>
      <c r="E142" s="160">
        <f>'патриотика0,3643'!D250</f>
        <v>2.9144000000000001</v>
      </c>
    </row>
    <row r="143" spans="1:5" ht="12" customHeight="1" x14ac:dyDescent="0.25">
      <c r="A143" s="678"/>
      <c r="B143" s="676"/>
      <c r="C143" s="105" t="str">
        <f>'патриотика0,3643'!A251</f>
        <v>Сумка кофр</v>
      </c>
      <c r="D143" s="63" t="str">
        <f>'натур показатели инновации+добр'!D129</f>
        <v>шт</v>
      </c>
      <c r="E143" s="160">
        <f>'патриотика0,3643'!D251</f>
        <v>2.1858</v>
      </c>
    </row>
    <row r="144" spans="1:5" ht="12" customHeight="1" x14ac:dyDescent="0.25">
      <c r="A144" s="678"/>
      <c r="B144" s="676"/>
      <c r="C144" s="105" t="str">
        <f>'патриотика0,3643'!A252</f>
        <v>мачта разборная</v>
      </c>
      <c r="D144" s="63" t="str">
        <f>'натур показатели инновации+добр'!D130</f>
        <v>шт</v>
      </c>
      <c r="E144" s="160">
        <f>'патриотика0,3643'!D252</f>
        <v>2.1858</v>
      </c>
    </row>
    <row r="145" spans="1:5" ht="12" customHeight="1" x14ac:dyDescent="0.25">
      <c r="A145" s="678"/>
      <c r="B145" s="676"/>
      <c r="C145" s="105" t="str">
        <f>'патриотика0,3643'!A253</f>
        <v>наливное пластиковое основание</v>
      </c>
      <c r="D145" s="63" t="str">
        <f>'натур показатели инновации+добр'!D131</f>
        <v>шт</v>
      </c>
      <c r="E145" s="160">
        <f>'патриотика0,3643'!D253</f>
        <v>2.1858</v>
      </c>
    </row>
    <row r="146" spans="1:5" ht="12" customHeight="1" x14ac:dyDescent="0.25">
      <c r="A146" s="678"/>
      <c r="B146" s="676"/>
      <c r="C146" s="105" t="str">
        <f>'патриотика0,3643'!A254</f>
        <v>Бумага А4</v>
      </c>
      <c r="D146" s="63" t="str">
        <f>'натур показатели инновации+добр'!D132</f>
        <v>шт</v>
      </c>
      <c r="E146" s="160">
        <f>'патриотика0,3643'!D254</f>
        <v>14.572000000000001</v>
      </c>
    </row>
    <row r="147" spans="1:5" ht="12" customHeight="1" x14ac:dyDescent="0.25">
      <c r="A147" s="678"/>
      <c r="B147" s="676"/>
      <c r="C147" s="105" t="str">
        <f>'патриотика0,3643'!A255</f>
        <v>Бумага Ксерокс</v>
      </c>
      <c r="D147" s="63" t="str">
        <f>'натур показатели инновации+добр'!D133</f>
        <v>шт</v>
      </c>
      <c r="E147" s="160">
        <f>'патриотика0,3643'!D255</f>
        <v>3.6430000000000002</v>
      </c>
    </row>
    <row r="148" spans="1:5" ht="12" customHeight="1" x14ac:dyDescent="0.25">
      <c r="A148" s="678"/>
      <c r="B148" s="676"/>
      <c r="C148" s="105" t="str">
        <f>'патриотика0,3643'!A256</f>
        <v>Холст кактус</v>
      </c>
      <c r="D148" s="63" t="str">
        <f>'натур показатели инновации+добр'!D134</f>
        <v>шт</v>
      </c>
      <c r="E148" s="160">
        <f>'патриотика0,3643'!D256</f>
        <v>0.72860000000000003</v>
      </c>
    </row>
    <row r="149" spans="1:5" ht="12" customHeight="1" x14ac:dyDescent="0.25">
      <c r="A149" s="678"/>
      <c r="B149" s="676"/>
      <c r="C149" s="105" t="str">
        <f>'патриотика0,3643'!A257</f>
        <v>Пленка для ламинирования</v>
      </c>
      <c r="D149" s="63" t="str">
        <f>'натур показатели инновации+добр'!D135</f>
        <v>шт</v>
      </c>
      <c r="E149" s="160">
        <f>'патриотика0,3643'!D257</f>
        <v>1.8215000000000001</v>
      </c>
    </row>
    <row r="150" spans="1:5" ht="12" customHeight="1" x14ac:dyDescent="0.25">
      <c r="A150" s="678"/>
      <c r="B150" s="676"/>
      <c r="C150" s="105" t="str">
        <f>'патриотика0,3643'!A258</f>
        <v>Ручка гель</v>
      </c>
      <c r="D150" s="63" t="str">
        <f>'натур показатели инновации+добр'!D136</f>
        <v>шт</v>
      </c>
      <c r="E150" s="160">
        <f>'патриотика0,3643'!D258</f>
        <v>7.2860000000000005</v>
      </c>
    </row>
    <row r="151" spans="1:5" ht="12" customHeight="1" x14ac:dyDescent="0.25">
      <c r="A151" s="678"/>
      <c r="B151" s="676"/>
      <c r="C151" s="105" t="str">
        <f>'патриотика0,3643'!A259</f>
        <v>Ложка суповая</v>
      </c>
      <c r="D151" s="63" t="str">
        <f>'натур показатели инновации+добр'!D137</f>
        <v>шт</v>
      </c>
      <c r="E151" s="160">
        <f>'патриотика0,3643'!D259</f>
        <v>364.3</v>
      </c>
    </row>
    <row r="152" spans="1:5" ht="12" customHeight="1" x14ac:dyDescent="0.25">
      <c r="A152" s="678"/>
      <c r="B152" s="676"/>
      <c r="C152" s="105" t="str">
        <f>'патриотика0,3643'!A260</f>
        <v>Тарелка суповая</v>
      </c>
      <c r="D152" s="63" t="str">
        <f>'натур показатели инновации+добр'!D138</f>
        <v>шт</v>
      </c>
      <c r="E152" s="160">
        <f>'патриотика0,3643'!D260</f>
        <v>364.3</v>
      </c>
    </row>
    <row r="153" spans="1:5" ht="12" customHeight="1" x14ac:dyDescent="0.25">
      <c r="A153" s="678"/>
      <c r="B153" s="676"/>
      <c r="C153" s="105" t="str">
        <f>'патриотика0,3643'!A261</f>
        <v xml:space="preserve">Стакан однораз </v>
      </c>
      <c r="D153" s="63" t="str">
        <f>'натур показатели инновации+добр'!D139</f>
        <v>шт</v>
      </c>
      <c r="E153" s="160">
        <f>'патриотика0,3643'!D261</f>
        <v>728.6</v>
      </c>
    </row>
    <row r="154" spans="1:5" ht="12" customHeight="1" x14ac:dyDescent="0.25">
      <c r="A154" s="678"/>
      <c r="B154" s="676"/>
      <c r="C154" s="105" t="str">
        <f>'патриотика0,3643'!A262</f>
        <v>Стакан однораз 250 мл</v>
      </c>
      <c r="D154" s="63" t="str">
        <f>'натур показатели инновации+добр'!D140</f>
        <v>шт</v>
      </c>
      <c r="E154" s="160">
        <f>'патриотика0,3643'!D262</f>
        <v>364.3</v>
      </c>
    </row>
    <row r="155" spans="1:5" ht="12" customHeight="1" x14ac:dyDescent="0.25">
      <c r="A155" s="678"/>
      <c r="B155" s="676"/>
      <c r="C155" s="105" t="str">
        <f>'патриотика0,3643'!A263</f>
        <v>Бумага цветная</v>
      </c>
      <c r="D155" s="63" t="str">
        <f>'натур показатели инновации+добр'!D141</f>
        <v>шт</v>
      </c>
      <c r="E155" s="160">
        <f>'патриотика0,3643'!D263</f>
        <v>1.4572000000000001</v>
      </c>
    </row>
    <row r="156" spans="1:5" ht="12" customHeight="1" x14ac:dyDescent="0.25">
      <c r="A156" s="678"/>
      <c r="B156" s="676"/>
      <c r="C156" s="105" t="str">
        <f>'патриотика0,3643'!A264</f>
        <v>Бумага писчая</v>
      </c>
      <c r="D156" s="63" t="str">
        <f>'натур показатели инновации+добр'!D142</f>
        <v>шт</v>
      </c>
      <c r="E156" s="160">
        <f>'патриотика0,3643'!D264</f>
        <v>1.8215000000000001</v>
      </c>
    </row>
    <row r="157" spans="1:5" ht="12" customHeight="1" x14ac:dyDescent="0.25">
      <c r="A157" s="678"/>
      <c r="B157" s="676"/>
      <c r="C157" s="105" t="str">
        <f>'патриотика0,3643'!A265</f>
        <v>Фитолента</v>
      </c>
      <c r="D157" s="63" t="str">
        <f>'натур показатели инновации+добр'!D143</f>
        <v>шт</v>
      </c>
      <c r="E157" s="160">
        <f>'патриотика0,3643'!D265</f>
        <v>1.8215000000000001</v>
      </c>
    </row>
    <row r="158" spans="1:5" ht="12" customHeight="1" x14ac:dyDescent="0.25">
      <c r="A158" s="678"/>
      <c r="B158" s="676"/>
      <c r="C158" s="105" t="str">
        <f>'патриотика0,3643'!A266</f>
        <v>грунт универсал</v>
      </c>
      <c r="D158" s="63" t="str">
        <f>'натур показатели инновации+добр'!D144</f>
        <v>шт</v>
      </c>
      <c r="E158" s="160">
        <f>'патриотика0,3643'!D266</f>
        <v>1.8215000000000001</v>
      </c>
    </row>
    <row r="159" spans="1:5" ht="12" customHeight="1" x14ac:dyDescent="0.25">
      <c r="A159" s="678"/>
      <c r="B159" s="676"/>
      <c r="C159" s="105" t="str">
        <f>'патриотика0,3643'!A267</f>
        <v>комплект рассадников</v>
      </c>
      <c r="D159" s="63" t="str">
        <f>'натур показатели инновации+добр'!D145</f>
        <v>шт</v>
      </c>
      <c r="E159" s="160">
        <f>'патриотика0,3643'!D267</f>
        <v>12.750500000000001</v>
      </c>
    </row>
    <row r="160" spans="1:5" ht="12" customHeight="1" x14ac:dyDescent="0.25">
      <c r="A160" s="678"/>
      <c r="B160" s="676"/>
      <c r="C160" s="105" t="str">
        <f>'патриотика0,3643'!A268</f>
        <v>семена цветов</v>
      </c>
      <c r="D160" s="63" t="str">
        <f>'натур показатели инновации+добр'!D146</f>
        <v>шт</v>
      </c>
      <c r="E160" s="160">
        <f>'патриотика0,3643'!D268</f>
        <v>21.858000000000001</v>
      </c>
    </row>
    <row r="161" spans="1:5" ht="12" customHeight="1" x14ac:dyDescent="0.25">
      <c r="A161" s="678"/>
      <c r="B161" s="676"/>
      <c r="C161" s="105" t="str">
        <f>'патриотика0,3643'!A269</f>
        <v>пьезозажтгалка</v>
      </c>
      <c r="D161" s="63" t="str">
        <f>'натур показатели инновации+добр'!D147</f>
        <v>шт</v>
      </c>
      <c r="E161" s="160">
        <f>'патриотика0,3643'!D269</f>
        <v>3.6430000000000002</v>
      </c>
    </row>
    <row r="162" spans="1:5" ht="12" customHeight="1" x14ac:dyDescent="0.25">
      <c r="A162" s="678"/>
      <c r="B162" s="676"/>
      <c r="C162" s="105" t="str">
        <f>'патриотика0,3643'!A270</f>
        <v>лейка садовая</v>
      </c>
      <c r="D162" s="63" t="str">
        <f>'натур показатели инновации+добр'!D148</f>
        <v>шт</v>
      </c>
      <c r="E162" s="160">
        <f>'патриотика0,3643'!D270</f>
        <v>0.36430000000000001</v>
      </c>
    </row>
    <row r="163" spans="1:5" ht="12" customHeight="1" x14ac:dyDescent="0.25">
      <c r="A163" s="678"/>
      <c r="B163" s="676"/>
      <c r="C163" s="105" t="str">
        <f>'патриотика0,3643'!A271</f>
        <v>Толстовка мц</v>
      </c>
      <c r="D163" s="63" t="str">
        <f>'натур показатели инновации+добр'!D149</f>
        <v>шт</v>
      </c>
      <c r="E163" s="160">
        <f>'патриотика0,3643'!D271</f>
        <v>2.5501</v>
      </c>
    </row>
    <row r="164" spans="1:5" ht="12" customHeight="1" x14ac:dyDescent="0.25">
      <c r="A164" s="678"/>
      <c r="B164" s="676"/>
      <c r="C164" s="105" t="str">
        <f>'патриотика0,3643'!A272</f>
        <v>футболка мц</v>
      </c>
      <c r="D164" s="63" t="str">
        <f>'натур показатели инновации+добр'!D150</f>
        <v>шт</v>
      </c>
      <c r="E164" s="160">
        <f>'патриотика0,3643'!D272</f>
        <v>3.6430000000000002</v>
      </c>
    </row>
    <row r="165" spans="1:5" ht="12" customHeight="1" x14ac:dyDescent="0.25">
      <c r="A165" s="678"/>
      <c r="B165" s="676"/>
      <c r="C165" s="105" t="str">
        <f>'патриотика0,3643'!A273</f>
        <v>бейсболка мц</v>
      </c>
      <c r="D165" s="63" t="str">
        <f>'натур показатели инновации+добр'!D151</f>
        <v>шт</v>
      </c>
      <c r="E165" s="160">
        <f>'патриотика0,3643'!D273</f>
        <v>2.5501</v>
      </c>
    </row>
    <row r="166" spans="1:5" ht="12" customHeight="1" x14ac:dyDescent="0.25">
      <c r="A166" s="678"/>
      <c r="B166" s="676"/>
      <c r="C166" s="105" t="str">
        <f>'патриотика0,3643'!A274</f>
        <v>флаг мц</v>
      </c>
      <c r="D166" s="63" t="str">
        <f>'натур показатели инновации+добр'!D152</f>
        <v>шт</v>
      </c>
      <c r="E166" s="160">
        <f>'патриотика0,3643'!D274</f>
        <v>0.36430000000000001</v>
      </c>
    </row>
    <row r="167" spans="1:5" ht="12" customHeight="1" x14ac:dyDescent="0.25">
      <c r="A167" s="678"/>
      <c r="B167" s="676"/>
      <c r="C167" s="105" t="str">
        <f>'патриотика0,3643'!A275</f>
        <v>Футболка черная</v>
      </c>
      <c r="D167" s="63" t="str">
        <f>'натур показатели инновации+добр'!D153</f>
        <v>шт</v>
      </c>
      <c r="E167" s="160">
        <f>'патриотика0,3643'!D275</f>
        <v>1.8215000000000001</v>
      </c>
    </row>
    <row r="168" spans="1:5" ht="12" customHeight="1" x14ac:dyDescent="0.25">
      <c r="A168" s="678"/>
      <c r="B168" s="676"/>
      <c r="C168" s="105" t="str">
        <f>'патриотика0,3643'!A276</f>
        <v>система джокер 2*3</v>
      </c>
      <c r="D168" s="63" t="str">
        <f>'натур показатели инновации+добр'!D154</f>
        <v>шт</v>
      </c>
      <c r="E168" s="160">
        <f>'патриотика0,3643'!D276</f>
        <v>0.36430000000000001</v>
      </c>
    </row>
    <row r="169" spans="1:5" ht="12" customHeight="1" x14ac:dyDescent="0.25">
      <c r="A169" s="678"/>
      <c r="B169" s="676"/>
      <c r="C169" s="105" t="str">
        <f>'патриотика0,3643'!A277</f>
        <v>система джокер 2*2</v>
      </c>
      <c r="D169" s="63" t="str">
        <f>'натур показатели инновации+добр'!D155</f>
        <v>шт</v>
      </c>
      <c r="E169" s="160">
        <f>'патриотика0,3643'!D277</f>
        <v>0.72860000000000003</v>
      </c>
    </row>
    <row r="170" spans="1:5" ht="12" customHeight="1" x14ac:dyDescent="0.25">
      <c r="A170" s="678"/>
      <c r="B170" s="676"/>
      <c r="C170" s="105" t="str">
        <f>'патриотика0,3643'!A278</f>
        <v xml:space="preserve">мачта разборка </v>
      </c>
      <c r="D170" s="63" t="str">
        <f>'натур показатели инновации+добр'!D156</f>
        <v>шт</v>
      </c>
      <c r="E170" s="160">
        <f>'патриотика0,3643'!D278</f>
        <v>0.36430000000000001</v>
      </c>
    </row>
    <row r="171" spans="1:5" ht="12" customHeight="1" x14ac:dyDescent="0.25">
      <c r="A171" s="678"/>
      <c r="B171" s="676"/>
      <c r="C171" s="105" t="str">
        <f>'патриотика0,3643'!A279</f>
        <v>флаг парус</v>
      </c>
      <c r="D171" s="63" t="str">
        <f>'натур показатели инновации+добр'!D157</f>
        <v>шт</v>
      </c>
      <c r="E171" s="160">
        <f>'патриотика0,3643'!D279</f>
        <v>0.36430000000000001</v>
      </c>
    </row>
    <row r="172" spans="1:5" ht="12" customHeight="1" x14ac:dyDescent="0.25">
      <c r="A172" s="678"/>
      <c r="B172" s="676"/>
      <c r="C172" s="105" t="str">
        <f>'патриотика0,3643'!A280</f>
        <v>сучка кофр</v>
      </c>
      <c r="D172" s="63" t="str">
        <f>'натур показатели инновации+добр'!D158</f>
        <v>шт</v>
      </c>
      <c r="E172" s="160">
        <f>'патриотика0,3643'!D280</f>
        <v>0.36430000000000001</v>
      </c>
    </row>
    <row r="173" spans="1:5" ht="12" customHeight="1" x14ac:dyDescent="0.25">
      <c r="A173" s="678"/>
      <c r="B173" s="676"/>
      <c r="C173" s="105" t="str">
        <f>'патриотика0,3643'!A281</f>
        <v>Бумага А4 офисная</v>
      </c>
      <c r="D173" s="63" t="str">
        <f>'натур показатели инновации+добр'!D159</f>
        <v>шт</v>
      </c>
      <c r="E173" s="160">
        <f>'патриотика0,3643'!D281</f>
        <v>29.144000000000002</v>
      </c>
    </row>
    <row r="174" spans="1:5" ht="12" customHeight="1" x14ac:dyDescent="0.25">
      <c r="A174" s="678"/>
      <c r="B174" s="676"/>
      <c r="C174" s="105" t="str">
        <f>'патриотика0,3643'!A282</f>
        <v>Фотобумага А4 глянцевая</v>
      </c>
      <c r="D174" s="63" t="str">
        <f>'натур показатели инновации+добр'!D160</f>
        <v>шт</v>
      </c>
      <c r="E174" s="160">
        <f>'патриотика0,3643'!D282</f>
        <v>16.7578</v>
      </c>
    </row>
    <row r="175" spans="1:5" ht="12" customHeight="1" x14ac:dyDescent="0.25">
      <c r="A175" s="678"/>
      <c r="B175" s="676"/>
      <c r="C175" s="105" t="str">
        <f>'патриотика0,3643'!A283</f>
        <v>Карта памяти Kingston для экшн камеры</v>
      </c>
      <c r="D175" s="63" t="str">
        <f>'натур показатели инновации+добр'!D161</f>
        <v>шт</v>
      </c>
      <c r="E175" s="160">
        <f>'патриотика0,3643'!D283</f>
        <v>0.36430000000000001</v>
      </c>
    </row>
    <row r="176" spans="1:5" ht="12" customHeight="1" x14ac:dyDescent="0.25">
      <c r="A176" s="678"/>
      <c r="B176" s="676"/>
      <c r="C176" s="105" t="str">
        <f>'патриотика0,3643'!A284</f>
        <v>Фоторамки</v>
      </c>
      <c r="D176" s="63" t="str">
        <f>'натур показатели инновации+добр'!D162</f>
        <v>шт</v>
      </c>
      <c r="E176" s="160">
        <f>'патриотика0,3643'!D284</f>
        <v>72.86</v>
      </c>
    </row>
    <row r="177" spans="1:5" ht="12" customHeight="1" x14ac:dyDescent="0.25">
      <c r="A177" s="678"/>
      <c r="B177" s="676"/>
      <c r="C177" s="105" t="str">
        <f>'патриотика0,3643'!A285</f>
        <v>Мышь USB</v>
      </c>
      <c r="D177" s="63" t="str">
        <f>'натур показатели инновации+добр'!D163</f>
        <v>шт</v>
      </c>
      <c r="E177" s="160">
        <f>'патриотика0,3643'!D285</f>
        <v>1.4572000000000001</v>
      </c>
    </row>
    <row r="178" spans="1:5" x14ac:dyDescent="0.25">
      <c r="A178" s="678"/>
      <c r="B178" s="676"/>
      <c r="C178" s="105" t="str">
        <f>'патриотика0,3643'!A286</f>
        <v>Фанера</v>
      </c>
      <c r="D178" s="63" t="str">
        <f>'натур показатели инновации+добр'!D164</f>
        <v>шт</v>
      </c>
      <c r="E178" s="160">
        <f>'патриотика0,3643'!D286</f>
        <v>14.572000000000001</v>
      </c>
    </row>
    <row r="179" spans="1:5" x14ac:dyDescent="0.25">
      <c r="A179" s="678"/>
      <c r="B179" s="676"/>
      <c r="C179" s="105" t="str">
        <f>'патриотика0,3643'!A287</f>
        <v>Труба профильная</v>
      </c>
      <c r="D179" s="63" t="str">
        <f>'натур показатели инновации+добр'!D165</f>
        <v>шт</v>
      </c>
      <c r="E179" s="160">
        <f>'патриотика0,3643'!D287</f>
        <v>25.501000000000001</v>
      </c>
    </row>
    <row r="180" spans="1:5" x14ac:dyDescent="0.25">
      <c r="A180" s="678"/>
      <c r="B180" s="676"/>
      <c r="C180" s="105" t="str">
        <f>'патриотика0,3643'!A288</f>
        <v>Фанера березовая шлифованная</v>
      </c>
      <c r="D180" s="63" t="str">
        <f>'натур показатели инновации+добр'!D166</f>
        <v>шт</v>
      </c>
      <c r="E180" s="160">
        <f>'патриотика0,3643'!D288</f>
        <v>3.6430000000000002</v>
      </c>
    </row>
    <row r="181" spans="1:5" x14ac:dyDescent="0.25">
      <c r="A181" s="678"/>
      <c r="B181" s="676"/>
      <c r="C181" s="105" t="str">
        <f>'патриотика0,3643'!A289</f>
        <v>Чернозем для клумб</v>
      </c>
      <c r="D181" s="63" t="str">
        <f>'натур показатели инновации+добр'!D167</f>
        <v>шт</v>
      </c>
      <c r="E181" s="160">
        <f>'патриотика0,3643'!D289</f>
        <v>0.72860000000000003</v>
      </c>
    </row>
    <row r="182" spans="1:5" x14ac:dyDescent="0.25">
      <c r="A182" s="678"/>
      <c r="B182" s="676"/>
      <c r="C182" s="105" t="str">
        <f>'патриотика0,3643'!A290</f>
        <v>Кисти</v>
      </c>
      <c r="D182" s="63" t="str">
        <f>'натур показатели инновации+добр'!D168</f>
        <v>шт</v>
      </c>
      <c r="E182" s="160">
        <f>'патриотика0,3643'!D290</f>
        <v>14.572000000000001</v>
      </c>
    </row>
    <row r="183" spans="1:5" x14ac:dyDescent="0.25">
      <c r="A183" s="678"/>
      <c r="B183" s="676"/>
      <c r="C183" s="105" t="str">
        <f>'патриотика0,3643'!A291</f>
        <v>краска кудо</v>
      </c>
      <c r="D183" s="63" t="str">
        <f>'натур показатели инновации+добр'!D169</f>
        <v>шт</v>
      </c>
      <c r="E183" s="160">
        <f>'патриотика0,3643'!D291</f>
        <v>3.6430000000000002</v>
      </c>
    </row>
    <row r="184" spans="1:5" x14ac:dyDescent="0.25">
      <c r="A184" s="678"/>
      <c r="B184" s="676"/>
      <c r="C184" s="105" t="str">
        <f>'патриотика0,3643'!A292</f>
        <v>Валик+ванночка</v>
      </c>
      <c r="D184" s="63" t="str">
        <f>'натур показатели инновации+добр'!D170</f>
        <v>шт</v>
      </c>
      <c r="E184" s="160">
        <f>'патриотика0,3643'!D292</f>
        <v>3.6430000000000002</v>
      </c>
    </row>
    <row r="185" spans="1:5" x14ac:dyDescent="0.25">
      <c r="A185" s="678"/>
      <c r="B185" s="676"/>
      <c r="C185" s="105" t="str">
        <f>'патриотика0,3643'!A293</f>
        <v>Ножницыы</v>
      </c>
      <c r="D185" s="63" t="str">
        <f>'натур показатели инновации+добр'!D171</f>
        <v>шт</v>
      </c>
      <c r="E185" s="160">
        <f>'патриотика0,3643'!D293</f>
        <v>3.6430000000000002</v>
      </c>
    </row>
    <row r="186" spans="1:5" x14ac:dyDescent="0.25">
      <c r="A186" s="678"/>
      <c r="B186" s="676"/>
      <c r="C186" s="105" t="str">
        <f>'патриотика0,3643'!A294</f>
        <v>Бумага А4</v>
      </c>
      <c r="D186" s="63" t="str">
        <f>'натур показатели инновации+добр'!D172</f>
        <v>шт</v>
      </c>
      <c r="E186" s="160">
        <f>'патриотика0,3643'!D294</f>
        <v>36.43</v>
      </c>
    </row>
    <row r="187" spans="1:5" x14ac:dyDescent="0.25">
      <c r="A187" s="678"/>
      <c r="B187" s="676"/>
      <c r="C187" s="105" t="str">
        <f>'патриотика0,3643'!A295</f>
        <v>Грабли, лопаты</v>
      </c>
      <c r="D187" s="63" t="str">
        <f>'натур показатели инновации+добр'!D173</f>
        <v>шт</v>
      </c>
      <c r="E187" s="160">
        <f>'патриотика0,3643'!D295</f>
        <v>3.6430000000000002</v>
      </c>
    </row>
    <row r="188" spans="1:5" x14ac:dyDescent="0.25">
      <c r="A188" s="678"/>
      <c r="B188" s="676"/>
      <c r="C188" s="105" t="str">
        <f>'патриотика0,3643'!A296</f>
        <v>ГСМ Бензин</v>
      </c>
      <c r="D188" s="63" t="str">
        <f>'натур показатели инновации+добр'!D174</f>
        <v>шт</v>
      </c>
      <c r="E188" s="160">
        <f>'патриотика0,3643'!D296</f>
        <v>947.18000000000006</v>
      </c>
    </row>
    <row r="189" spans="1:5" x14ac:dyDescent="0.25">
      <c r="A189" s="678"/>
      <c r="B189" s="676"/>
      <c r="C189" s="105" t="str">
        <f>'патриотика0,3643'!A297</f>
        <v>Набор для ухода за оптикой</v>
      </c>
      <c r="D189" s="63" t="str">
        <f>'натур показатели инновации+добр'!D175</f>
        <v>шт</v>
      </c>
      <c r="E189" s="160">
        <f>'патриотика0,3643'!D297</f>
        <v>0.36430000000000001</v>
      </c>
    </row>
    <row r="190" spans="1:5" ht="22.5" customHeight="1" x14ac:dyDescent="0.25">
      <c r="A190" s="678"/>
      <c r="B190" s="676"/>
      <c r="C190" s="105" t="str">
        <f>'патриотика0,3643'!A298</f>
        <v>Фотосумка</v>
      </c>
      <c r="D190" s="63" t="str">
        <f>'натур показатели инновации+добр'!D176</f>
        <v>шт</v>
      </c>
      <c r="E190" s="160">
        <f>'патриотика0,3643'!D298</f>
        <v>0.36430000000000001</v>
      </c>
    </row>
    <row r="191" spans="1:5" x14ac:dyDescent="0.25">
      <c r="A191" s="678"/>
      <c r="B191" s="676"/>
      <c r="C191" s="105" t="str">
        <f>'патриотика0,3643'!A299</f>
        <v>Карта памяти Kingston для экшн камеры</v>
      </c>
      <c r="D191" s="63" t="str">
        <f>'натур показатели инновации+добр'!D177</f>
        <v>шт</v>
      </c>
      <c r="E191" s="160">
        <f>'патриотика0,3643'!D299</f>
        <v>0.36430000000000001</v>
      </c>
    </row>
    <row r="192" spans="1:5" x14ac:dyDescent="0.25">
      <c r="A192" s="678"/>
      <c r="B192" s="676"/>
      <c r="C192" s="105" t="str">
        <f>'патриотика0,3643'!A300</f>
        <v>Карта памяти экспресс</v>
      </c>
      <c r="D192" s="63">
        <f>'натур показатели инновации+добр'!D178</f>
        <v>0</v>
      </c>
      <c r="E192" s="160">
        <f>'патриотика0,3643'!D300</f>
        <v>0.36430000000000001</v>
      </c>
    </row>
    <row r="193" spans="3:3" x14ac:dyDescent="0.25">
      <c r="C193" s="105">
        <f>'патриотика0,3643'!A476</f>
        <v>0</v>
      </c>
    </row>
    <row r="194" spans="3:3" x14ac:dyDescent="0.25">
      <c r="C194" s="105">
        <f>'патриотика0,3643'!A477</f>
        <v>0</v>
      </c>
    </row>
    <row r="195" spans="3:3" x14ac:dyDescent="0.25">
      <c r="C195" s="105">
        <f>'патриотика0,3643'!A478</f>
        <v>0</v>
      </c>
    </row>
    <row r="196" spans="3:3" x14ac:dyDescent="0.25">
      <c r="C196" s="105">
        <f>'патриотика0,3643'!A479</f>
        <v>0</v>
      </c>
    </row>
    <row r="197" spans="3:3" x14ac:dyDescent="0.25">
      <c r="C197" s="105">
        <f>'патриотика0,3643'!A480</f>
        <v>0</v>
      </c>
    </row>
    <row r="198" spans="3:3" x14ac:dyDescent="0.25">
      <c r="C198" s="105">
        <f>'патриотика0,3643'!A481</f>
        <v>0</v>
      </c>
    </row>
    <row r="199" spans="3:3" x14ac:dyDescent="0.25">
      <c r="C199" s="105">
        <f>'патриотика0,3643'!A482</f>
        <v>0</v>
      </c>
    </row>
    <row r="200" spans="3:3" x14ac:dyDescent="0.25">
      <c r="C200" s="105">
        <f>'патриотика0,3643'!A483</f>
        <v>0</v>
      </c>
    </row>
    <row r="201" spans="3:3" x14ac:dyDescent="0.25">
      <c r="C201" s="105">
        <f>'патриотика0,3643'!A484</f>
        <v>0</v>
      </c>
    </row>
    <row r="202" spans="3:3" x14ac:dyDescent="0.25">
      <c r="C202" s="105">
        <f>'патриотика0,3643'!A485</f>
        <v>0</v>
      </c>
    </row>
  </sheetData>
  <mergeCells count="18">
    <mergeCell ref="C90:E90"/>
    <mergeCell ref="C98:E98"/>
    <mergeCell ref="C103:E103"/>
    <mergeCell ref="C105:E105"/>
    <mergeCell ref="C11:E11"/>
    <mergeCell ref="C15:E15"/>
    <mergeCell ref="D1:E1"/>
    <mergeCell ref="A3:E3"/>
    <mergeCell ref="A4:E4"/>
    <mergeCell ref="C7:E7"/>
    <mergeCell ref="C8:E8"/>
    <mergeCell ref="B7:B192"/>
    <mergeCell ref="A7:A192"/>
    <mergeCell ref="C49:E49"/>
    <mergeCell ref="C109:E109"/>
    <mergeCell ref="C111:E111"/>
    <mergeCell ref="C50:E50"/>
    <mergeCell ref="C57:E57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303"/>
  <sheetViews>
    <sheetView view="pageBreakPreview" zoomScale="78" zoomScaleNormal="70" zoomScaleSheetLayoutView="78" zoomScalePageLayoutView="80" workbookViewId="0">
      <selection activeCell="F203" sqref="F203:F211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732" t="s">
        <v>46</v>
      </c>
      <c r="B1" s="732"/>
      <c r="C1" s="732"/>
      <c r="D1" s="732"/>
      <c r="E1" s="732"/>
      <c r="F1" s="732"/>
      <c r="G1" s="732"/>
      <c r="H1" s="732"/>
    </row>
    <row r="2" spans="1:122" ht="18.75" x14ac:dyDescent="0.25">
      <c r="A2" s="314" t="str">
        <f>'таланты+инициативы0,2714'!A2</f>
        <v>на 08.12.2023 год</v>
      </c>
      <c r="B2" s="314"/>
      <c r="C2" s="314"/>
      <c r="D2" s="314"/>
      <c r="E2" s="314"/>
      <c r="F2" s="314"/>
      <c r="G2" s="314"/>
      <c r="H2" s="314"/>
    </row>
    <row r="3" spans="1:122" ht="57.6" customHeight="1" x14ac:dyDescent="0.25">
      <c r="A3" s="7" t="s">
        <v>213</v>
      </c>
      <c r="B3" s="740" t="s">
        <v>49</v>
      </c>
      <c r="C3" s="740"/>
      <c r="D3" s="740"/>
      <c r="E3" s="740"/>
      <c r="F3" s="740"/>
      <c r="G3" s="740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  <c r="AW3" s="386"/>
      <c r="AX3" s="386"/>
      <c r="AY3" s="386"/>
      <c r="AZ3" s="386"/>
      <c r="BA3" s="386"/>
      <c r="BB3" s="386"/>
      <c r="BC3" s="386"/>
      <c r="BD3" s="386"/>
      <c r="BE3" s="386"/>
      <c r="BF3" s="386"/>
      <c r="BG3" s="386"/>
      <c r="BH3" s="386"/>
      <c r="BI3" s="386"/>
      <c r="BJ3" s="386"/>
      <c r="BK3" s="386"/>
      <c r="BL3" s="386"/>
      <c r="BM3" s="386"/>
      <c r="BN3" s="386"/>
      <c r="BO3" s="386"/>
      <c r="BP3" s="386"/>
      <c r="BQ3" s="386"/>
      <c r="BR3" s="386"/>
      <c r="BS3" s="386"/>
      <c r="BT3" s="386"/>
      <c r="BU3" s="386"/>
      <c r="BV3" s="386"/>
      <c r="BW3" s="386"/>
      <c r="BX3" s="386"/>
      <c r="BY3" s="386"/>
      <c r="BZ3" s="386"/>
      <c r="CA3" s="386"/>
      <c r="CB3" s="386"/>
      <c r="CC3" s="386"/>
      <c r="CD3" s="386"/>
      <c r="CE3" s="386"/>
      <c r="CF3" s="386"/>
      <c r="CG3" s="386"/>
      <c r="CH3" s="386"/>
      <c r="CI3" s="386"/>
      <c r="CJ3" s="386"/>
      <c r="CK3" s="386"/>
      <c r="CL3" s="386"/>
      <c r="CM3" s="386"/>
      <c r="CN3" s="386"/>
      <c r="CO3" s="386"/>
      <c r="CP3" s="386"/>
      <c r="CQ3" s="386"/>
      <c r="CR3" s="386"/>
      <c r="CS3" s="386"/>
      <c r="CT3" s="386"/>
      <c r="CU3" s="386"/>
      <c r="CV3" s="386"/>
      <c r="CW3" s="386"/>
      <c r="CX3" s="386"/>
      <c r="CY3" s="386"/>
      <c r="CZ3" s="386"/>
      <c r="DA3" s="386"/>
      <c r="DB3" s="386"/>
      <c r="DC3" s="386"/>
      <c r="DD3" s="386"/>
      <c r="DE3" s="386"/>
      <c r="DF3" s="386"/>
      <c r="DG3" s="386"/>
      <c r="DH3" s="386"/>
      <c r="DI3" s="386"/>
      <c r="DJ3" s="386"/>
      <c r="DK3" s="386"/>
      <c r="DL3" s="386"/>
      <c r="DM3" s="386"/>
      <c r="DN3" s="386"/>
      <c r="DO3" s="386"/>
      <c r="DP3" s="386"/>
      <c r="DQ3" s="386"/>
      <c r="DR3" s="386"/>
    </row>
    <row r="4" spans="1:122" x14ac:dyDescent="0.25">
      <c r="A4" s="723" t="s">
        <v>186</v>
      </c>
      <c r="B4" s="723"/>
      <c r="C4" s="723"/>
      <c r="D4" s="723"/>
      <c r="E4" s="723"/>
    </row>
    <row r="5" spans="1:122" x14ac:dyDescent="0.25">
      <c r="A5" s="724" t="s">
        <v>43</v>
      </c>
      <c r="B5" s="724"/>
      <c r="C5" s="724"/>
      <c r="D5" s="724"/>
      <c r="E5" s="724"/>
    </row>
    <row r="6" spans="1:122" x14ac:dyDescent="0.25">
      <c r="A6" s="724" t="s">
        <v>199</v>
      </c>
      <c r="B6" s="724"/>
      <c r="C6" s="724"/>
      <c r="D6" s="724"/>
      <c r="E6" s="724"/>
    </row>
    <row r="7" spans="1:122" x14ac:dyDescent="0.25">
      <c r="A7" s="572" t="s">
        <v>218</v>
      </c>
      <c r="B7" s="572"/>
      <c r="C7" s="572"/>
      <c r="D7" s="572"/>
      <c r="E7" s="572"/>
    </row>
    <row r="8" spans="1:122" ht="31.15" customHeight="1" x14ac:dyDescent="0.25">
      <c r="A8" s="95" t="s">
        <v>34</v>
      </c>
      <c r="B8" s="64" t="s">
        <v>9</v>
      </c>
      <c r="C8" s="65"/>
      <c r="D8" s="573" t="s">
        <v>10</v>
      </c>
      <c r="E8" s="574"/>
      <c r="F8" s="277" t="s">
        <v>9</v>
      </c>
    </row>
    <row r="9" spans="1:122" x14ac:dyDescent="0.25">
      <c r="A9" s="95"/>
      <c r="B9" s="317"/>
      <c r="C9" s="317"/>
      <c r="D9" s="575" t="str">
        <f>'инновации+добровольчество0,3643'!D10:E10</f>
        <v>Заведующий МЦ</v>
      </c>
      <c r="E9" s="576"/>
      <c r="F9" s="66">
        <v>1</v>
      </c>
    </row>
    <row r="10" spans="1:122" x14ac:dyDescent="0.25">
      <c r="A10" s="64" t="s">
        <v>140</v>
      </c>
      <c r="B10" s="317">
        <v>5.6</v>
      </c>
      <c r="C10" s="317"/>
      <c r="D10" s="577" t="str">
        <f>'[1]2016'!$AE$25</f>
        <v>Водитель</v>
      </c>
      <c r="E10" s="578"/>
      <c r="F10" s="317">
        <v>1</v>
      </c>
    </row>
    <row r="11" spans="1:122" x14ac:dyDescent="0.25">
      <c r="A11" s="64" t="s">
        <v>93</v>
      </c>
      <c r="B11" s="317">
        <v>1</v>
      </c>
      <c r="C11" s="317"/>
      <c r="D11" s="577" t="s">
        <v>87</v>
      </c>
      <c r="E11" s="578"/>
      <c r="F11" s="317">
        <v>0.5</v>
      </c>
    </row>
    <row r="12" spans="1:122" x14ac:dyDescent="0.25">
      <c r="A12" s="95"/>
      <c r="B12" s="317"/>
      <c r="C12" s="317"/>
      <c r="D12" s="577" t="str">
        <f>'[1]2016'!$AE$26</f>
        <v xml:space="preserve">Уборщик служебных помещений </v>
      </c>
      <c r="E12" s="578"/>
      <c r="F12" s="317">
        <v>1</v>
      </c>
    </row>
    <row r="13" spans="1:122" x14ac:dyDescent="0.25">
      <c r="A13" s="67" t="s">
        <v>57</v>
      </c>
      <c r="B13" s="68">
        <f>SUM(B9:B10)+B11</f>
        <v>6.6</v>
      </c>
      <c r="C13" s="67"/>
      <c r="D13" s="579" t="s">
        <v>57</v>
      </c>
      <c r="E13" s="580"/>
      <c r="F13" s="68">
        <f>SUM(F9:F12)</f>
        <v>3.5</v>
      </c>
    </row>
    <row r="14" spans="1:122" x14ac:dyDescent="0.25">
      <c r="A14" s="8" t="str">
        <f>'таланты+инициативы0,2714'!A14:I14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4" t="s">
        <v>304</v>
      </c>
      <c r="B15" s="734"/>
      <c r="C15" s="734"/>
      <c r="D15" s="734"/>
      <c r="E15" s="734"/>
      <c r="F15" s="734"/>
    </row>
    <row r="16" spans="1:122" x14ac:dyDescent="0.25">
      <c r="A16" s="9" t="s">
        <v>300</v>
      </c>
      <c r="B16" s="9"/>
      <c r="C16" s="9"/>
      <c r="D16" s="9"/>
    </row>
    <row r="17" spans="1:11" x14ac:dyDescent="0.25">
      <c r="A17" s="735" t="s">
        <v>45</v>
      </c>
      <c r="B17" s="735"/>
      <c r="C17" s="735"/>
      <c r="D17" s="735"/>
      <c r="E17" s="735"/>
      <c r="F17" s="735"/>
    </row>
    <row r="18" spans="1:11" x14ac:dyDescent="0.25">
      <c r="A18" s="733"/>
      <c r="B18" s="733"/>
      <c r="C18" s="315"/>
      <c r="D18" s="147">
        <v>0.36430000000000001</v>
      </c>
      <c r="E18" s="148"/>
    </row>
    <row r="19" spans="1:11" ht="22.9" customHeight="1" x14ac:dyDescent="0.25">
      <c r="A19" s="703" t="s">
        <v>0</v>
      </c>
      <c r="B19" s="703" t="s">
        <v>1</v>
      </c>
      <c r="C19" s="307"/>
      <c r="D19" s="703" t="s">
        <v>2</v>
      </c>
      <c r="E19" s="704" t="s">
        <v>3</v>
      </c>
      <c r="F19" s="705"/>
      <c r="G19" s="703" t="s">
        <v>35</v>
      </c>
      <c r="H19" s="307" t="s">
        <v>5</v>
      </c>
      <c r="I19" s="703" t="s">
        <v>6</v>
      </c>
    </row>
    <row r="20" spans="1:11" ht="31.5" x14ac:dyDescent="0.25">
      <c r="A20" s="703"/>
      <c r="B20" s="703"/>
      <c r="C20" s="307"/>
      <c r="D20" s="703"/>
      <c r="E20" s="307" t="s">
        <v>301</v>
      </c>
      <c r="F20" s="307" t="s">
        <v>313</v>
      </c>
      <c r="G20" s="703"/>
      <c r="H20" s="94" t="s">
        <v>171</v>
      </c>
      <c r="I20" s="703"/>
    </row>
    <row r="21" spans="1:11" x14ac:dyDescent="0.25">
      <c r="A21" s="703"/>
      <c r="B21" s="703"/>
      <c r="C21" s="307"/>
      <c r="D21" s="703"/>
      <c r="E21" s="307" t="s">
        <v>4</v>
      </c>
      <c r="F21" s="149"/>
      <c r="G21" s="703"/>
      <c r="H21" s="307" t="s">
        <v>303</v>
      </c>
      <c r="I21" s="703"/>
    </row>
    <row r="22" spans="1:11" x14ac:dyDescent="0.25">
      <c r="A22" s="703">
        <v>1</v>
      </c>
      <c r="B22" s="703">
        <v>2</v>
      </c>
      <c r="C22" s="307"/>
      <c r="D22" s="703">
        <v>3</v>
      </c>
      <c r="E22" s="703" t="s">
        <v>302</v>
      </c>
      <c r="F22" s="726">
        <v>5</v>
      </c>
      <c r="G22" s="546" t="s">
        <v>7</v>
      </c>
      <c r="H22" s="94" t="s">
        <v>172</v>
      </c>
      <c r="I22" s="546" t="s">
        <v>173</v>
      </c>
    </row>
    <row r="23" spans="1:11" x14ac:dyDescent="0.25">
      <c r="A23" s="703"/>
      <c r="B23" s="703"/>
      <c r="C23" s="307"/>
      <c r="D23" s="703"/>
      <c r="E23" s="703"/>
      <c r="F23" s="727"/>
      <c r="G23" s="546"/>
      <c r="H23" s="50">
        <v>1775.4</v>
      </c>
      <c r="I23" s="546"/>
    </row>
    <row r="24" spans="1:11" x14ac:dyDescent="0.25">
      <c r="A24" s="69" t="s">
        <v>93</v>
      </c>
      <c r="B24" s="83">
        <f>'таланты+инициативы0,2714'!B24</f>
        <v>76206.899999999994</v>
      </c>
      <c r="C24" s="81"/>
      <c r="D24" s="307">
        <f>1*D18</f>
        <v>0.36430000000000001</v>
      </c>
      <c r="E24" s="70">
        <f>D24*1775.4</f>
        <v>646.77822000000003</v>
      </c>
      <c r="F24" s="71">
        <v>1</v>
      </c>
      <c r="G24" s="70">
        <f>E24/F24</f>
        <v>646.77822000000003</v>
      </c>
      <c r="H24" s="70">
        <f>B24*1.302/1775.4*12</f>
        <v>670.64132342007429</v>
      </c>
      <c r="I24" s="70">
        <f>G24*H24+8000</f>
        <v>441756.20142007997</v>
      </c>
    </row>
    <row r="25" spans="1:11" x14ac:dyDescent="0.25">
      <c r="A25" s="72" t="str">
        <f>A10</f>
        <v>Специалист по работе с молодежью</v>
      </c>
      <c r="B25" s="83">
        <f>'таланты+инициативы0,2714'!B25</f>
        <v>54332.9</v>
      </c>
      <c r="C25" s="169"/>
      <c r="D25" s="307">
        <f>D18*5.6</f>
        <v>2.0400800000000001</v>
      </c>
      <c r="E25" s="70">
        <f>D25*1775.4</f>
        <v>3621.9580320000005</v>
      </c>
      <c r="F25" s="71">
        <v>1</v>
      </c>
      <c r="G25" s="70">
        <f>E25/F25</f>
        <v>3621.9580320000005</v>
      </c>
      <c r="H25" s="70">
        <f>B25*1.302/1775.4*12</f>
        <v>478.14420953024671</v>
      </c>
      <c r="I25" s="70">
        <f>G25*H25+8033.75+23000</f>
        <v>1762852.0101623682</v>
      </c>
    </row>
    <row r="26" spans="1:11" ht="18.75" x14ac:dyDescent="0.3">
      <c r="A26" s="704" t="s">
        <v>8</v>
      </c>
      <c r="B26" s="739"/>
      <c r="C26" s="739"/>
      <c r="D26" s="739"/>
      <c r="E26" s="739"/>
      <c r="F26" s="739"/>
      <c r="G26" s="739"/>
      <c r="H26" s="705"/>
      <c r="I26" s="432">
        <f>SUM(I24:I25)</f>
        <v>2204608.2115824483</v>
      </c>
      <c r="J26" s="159">
        <f>I26+I119</f>
        <v>3466720.9285262325</v>
      </c>
      <c r="K26" s="171" t="s">
        <v>104</v>
      </c>
    </row>
    <row r="27" spans="1:11" hidden="1" x14ac:dyDescent="0.25">
      <c r="A27" s="603" t="s">
        <v>166</v>
      </c>
      <c r="B27" s="603"/>
      <c r="C27" s="603"/>
      <c r="D27" s="603"/>
      <c r="E27" s="603"/>
      <c r="F27" s="603"/>
      <c r="G27" s="603"/>
      <c r="H27" s="603"/>
      <c r="I27" s="170"/>
      <c r="J27" s="171"/>
    </row>
    <row r="28" spans="1:11" hidden="1" x14ac:dyDescent="0.25">
      <c r="A28" s="549" t="s">
        <v>60</v>
      </c>
      <c r="B28" s="582" t="s">
        <v>155</v>
      </c>
      <c r="C28" s="582"/>
      <c r="D28" s="582" t="s">
        <v>156</v>
      </c>
      <c r="E28" s="582"/>
      <c r="F28" s="582"/>
      <c r="G28" s="583"/>
      <c r="H28" s="583"/>
      <c r="I28" s="170"/>
      <c r="J28" s="171"/>
    </row>
    <row r="29" spans="1:11" ht="16.5" hidden="1" customHeight="1" x14ac:dyDescent="0.25">
      <c r="A29" s="550"/>
      <c r="B29" s="582"/>
      <c r="C29" s="582"/>
      <c r="D29" s="582" t="s">
        <v>157</v>
      </c>
      <c r="E29" s="549" t="s">
        <v>158</v>
      </c>
      <c r="F29" s="715" t="s">
        <v>159</v>
      </c>
      <c r="G29" s="549" t="s">
        <v>165</v>
      </c>
      <c r="H29" s="549" t="s">
        <v>6</v>
      </c>
      <c r="I29" s="170"/>
      <c r="J29" s="171"/>
    </row>
    <row r="30" spans="1:11" hidden="1" x14ac:dyDescent="0.25">
      <c r="A30" s="551"/>
      <c r="B30" s="582"/>
      <c r="C30" s="582"/>
      <c r="D30" s="582"/>
      <c r="E30" s="551"/>
      <c r="F30" s="562"/>
      <c r="G30" s="551"/>
      <c r="H30" s="551"/>
      <c r="I30" s="170"/>
      <c r="J30" s="171"/>
    </row>
    <row r="31" spans="1:11" hidden="1" x14ac:dyDescent="0.25">
      <c r="A31" s="208">
        <v>1</v>
      </c>
      <c r="B31" s="563">
        <v>2</v>
      </c>
      <c r="C31" s="564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0"/>
      <c r="J31" s="171"/>
    </row>
    <row r="32" spans="1:11" hidden="1" x14ac:dyDescent="0.25">
      <c r="A32" s="207" t="s">
        <v>93</v>
      </c>
      <c r="B32" s="207">
        <v>0.39300000000000002</v>
      </c>
      <c r="C32" s="283">
        <v>1</v>
      </c>
      <c r="D32" s="142">
        <v>2074.6</v>
      </c>
      <c r="E32" s="106">
        <f t="shared" ref="E32:E33" si="0">D32*12</f>
        <v>24895.199999999997</v>
      </c>
      <c r="F32" s="142">
        <f>18363.9*0.393</f>
        <v>7217.0127000000011</v>
      </c>
      <c r="G32" s="173">
        <f>F32*30.2%</f>
        <v>2179.5378354000004</v>
      </c>
      <c r="H32" s="173">
        <f>F32+G32</f>
        <v>9396.5505354000015</v>
      </c>
      <c r="I32" s="170"/>
      <c r="J32" s="171"/>
    </row>
    <row r="33" spans="1:11" ht="15.6" hidden="1" customHeight="1" x14ac:dyDescent="0.25">
      <c r="A33" s="207" t="s">
        <v>161</v>
      </c>
      <c r="B33" s="563">
        <f>5.6*0.393</f>
        <v>2.2008000000000001</v>
      </c>
      <c r="C33" s="564"/>
      <c r="D33" s="142">
        <f>1302.85*B33</f>
        <v>2867.3122800000001</v>
      </c>
      <c r="E33" s="106">
        <f t="shared" si="0"/>
        <v>34407.747360000001</v>
      </c>
      <c r="F33" s="142">
        <f>64311.87*0.393</f>
        <v>25274.564910000001</v>
      </c>
      <c r="G33" s="173">
        <f>F33*30.2%</f>
        <v>7632.9186028200002</v>
      </c>
      <c r="H33" s="173">
        <f>F33+G33</f>
        <v>32907.483512819999</v>
      </c>
    </row>
    <row r="34" spans="1:11" ht="18.75" hidden="1" x14ac:dyDescent="0.25">
      <c r="A34" s="282"/>
      <c r="B34" s="581">
        <f>SUM(B32:C33)</f>
        <v>3.5937999999999999</v>
      </c>
      <c r="C34" s="581"/>
      <c r="D34" s="119">
        <f>SUM(D32:D33)</f>
        <v>4941.9122800000005</v>
      </c>
      <c r="E34" s="119">
        <f>SUM(E32:E33)</f>
        <v>59302.947359999998</v>
      </c>
      <c r="F34" s="119">
        <f>SUM(F32:F33)</f>
        <v>32491.57761</v>
      </c>
      <c r="G34" s="119">
        <f>SUM(G32:G33)</f>
        <v>9812.4564382200006</v>
      </c>
      <c r="H34" s="209"/>
    </row>
    <row r="35" spans="1:11" s="41" customFormat="1" ht="14.45" hidden="1" customHeight="1" x14ac:dyDescent="0.25">
      <c r="A35" s="603" t="s">
        <v>170</v>
      </c>
      <c r="B35" s="603"/>
      <c r="C35" s="603"/>
      <c r="D35" s="603"/>
      <c r="E35" s="603"/>
      <c r="F35" s="603"/>
      <c r="G35" s="603"/>
      <c r="H35" s="603"/>
      <c r="I35" s="143"/>
    </row>
    <row r="36" spans="1:11" s="41" customFormat="1" ht="28.9" hidden="1" customHeight="1" x14ac:dyDescent="0.25">
      <c r="A36" s="549" t="s">
        <v>60</v>
      </c>
      <c r="B36" s="582" t="s">
        <v>155</v>
      </c>
      <c r="C36" s="582"/>
      <c r="D36" s="558" t="s">
        <v>156</v>
      </c>
      <c r="E36" s="560"/>
      <c r="F36" s="284"/>
    </row>
    <row r="37" spans="1:11" s="41" customFormat="1" ht="14.45" hidden="1" customHeight="1" x14ac:dyDescent="0.25">
      <c r="A37" s="550"/>
      <c r="B37" s="582"/>
      <c r="C37" s="582"/>
      <c r="D37" s="582" t="s">
        <v>157</v>
      </c>
      <c r="E37" s="549" t="s">
        <v>165</v>
      </c>
      <c r="F37" s="549" t="s">
        <v>169</v>
      </c>
    </row>
    <row r="38" spans="1:11" s="41" customFormat="1" ht="15" hidden="1" x14ac:dyDescent="0.25">
      <c r="A38" s="551"/>
      <c r="B38" s="582"/>
      <c r="C38" s="582"/>
      <c r="D38" s="582"/>
      <c r="E38" s="551"/>
      <c r="F38" s="551"/>
    </row>
    <row r="39" spans="1:11" s="41" customFormat="1" ht="15" hidden="1" x14ac:dyDescent="0.25">
      <c r="A39" s="208">
        <v>1</v>
      </c>
      <c r="B39" s="563">
        <v>2</v>
      </c>
      <c r="C39" s="564"/>
      <c r="D39" s="208">
        <v>3</v>
      </c>
      <c r="E39" s="208">
        <v>6</v>
      </c>
      <c r="F39" s="208">
        <v>7</v>
      </c>
    </row>
    <row r="40" spans="1:11" s="41" customFormat="1" ht="15" hidden="1" x14ac:dyDescent="0.25">
      <c r="A40" s="207" t="s">
        <v>161</v>
      </c>
      <c r="B40" s="563">
        <f>B33</f>
        <v>2.2008000000000001</v>
      </c>
      <c r="C40" s="564"/>
      <c r="D40" s="142">
        <v>4218.1400000000003</v>
      </c>
      <c r="E40" s="173">
        <f>D40*30.2%</f>
        <v>1273.8782800000001</v>
      </c>
      <c r="F40" s="173">
        <f>(E40+D40)*B40*12+27.46</f>
        <v>145069.46596748798</v>
      </c>
    </row>
    <row r="41" spans="1:11" s="41" customFormat="1" ht="18.75" hidden="1" x14ac:dyDescent="0.25">
      <c r="A41" s="282"/>
      <c r="B41" s="581">
        <f>SUM(B40:C40)</f>
        <v>2.2008000000000001</v>
      </c>
      <c r="C41" s="581"/>
      <c r="D41" s="119">
        <f>SUM(D40:D40)</f>
        <v>4218.1400000000003</v>
      </c>
      <c r="E41" s="119">
        <f>SUM(E40:E40)</f>
        <v>1273.8782800000001</v>
      </c>
      <c r="F41" s="209"/>
    </row>
    <row r="42" spans="1:11" s="41" customFormat="1" ht="18.75" x14ac:dyDescent="0.25">
      <c r="A42" s="143"/>
      <c r="B42" s="143"/>
      <c r="C42" s="143"/>
      <c r="D42" s="198"/>
      <c r="E42" s="198"/>
      <c r="F42" s="199"/>
      <c r="J42" s="6">
        <v>3415671.44</v>
      </c>
      <c r="K42" s="170" t="s">
        <v>105</v>
      </c>
    </row>
    <row r="43" spans="1:11" x14ac:dyDescent="0.25">
      <c r="D43" s="150">
        <f>D18</f>
        <v>0.36430000000000001</v>
      </c>
      <c r="J43" s="159">
        <f>J42-J26</f>
        <v>-51049.488526232541</v>
      </c>
      <c r="K43" s="170" t="s">
        <v>117</v>
      </c>
    </row>
    <row r="44" spans="1:11" ht="24.6" hidden="1" customHeight="1" x14ac:dyDescent="0.25">
      <c r="A44" s="703" t="s">
        <v>120</v>
      </c>
      <c r="B44" s="703"/>
      <c r="C44" s="307"/>
      <c r="D44" s="307" t="s">
        <v>11</v>
      </c>
      <c r="E44" s="307" t="s">
        <v>48</v>
      </c>
      <c r="F44" s="307" t="s">
        <v>15</v>
      </c>
      <c r="G44" s="312" t="s">
        <v>6</v>
      </c>
    </row>
    <row r="45" spans="1:11" hidden="1" x14ac:dyDescent="0.25">
      <c r="A45" s="704">
        <v>1</v>
      </c>
      <c r="B45" s="705"/>
      <c r="C45" s="308"/>
      <c r="D45" s="307">
        <v>2</v>
      </c>
      <c r="E45" s="71">
        <v>3</v>
      </c>
      <c r="F45" s="307">
        <v>4</v>
      </c>
      <c r="G45" s="74" t="s">
        <v>68</v>
      </c>
    </row>
    <row r="46" spans="1:11" hidden="1" x14ac:dyDescent="0.25">
      <c r="A46" s="706" t="str">
        <f>'инновации+добровольчество0,3643'!A53</f>
        <v>Суточные</v>
      </c>
      <c r="B46" s="707"/>
      <c r="C46" s="310"/>
      <c r="D46" s="307" t="str">
        <f>'инновации+добровольчество0,3643'!D53</f>
        <v>сутки</v>
      </c>
      <c r="E46" s="212">
        <f>D43</f>
        <v>0.36430000000000001</v>
      </c>
      <c r="F46" s="320">
        <f>'инновации+добровольчество0,3643'!F53</f>
        <v>450</v>
      </c>
      <c r="G46" s="77">
        <f>E46*F46</f>
        <v>163.935</v>
      </c>
    </row>
    <row r="47" spans="1:11" hidden="1" x14ac:dyDescent="0.25">
      <c r="A47" s="706" t="str">
        <f>'инновации+добровольчество0,3643'!A54</f>
        <v>Проезд</v>
      </c>
      <c r="B47" s="707"/>
      <c r="C47" s="310"/>
      <c r="D47" s="307" t="str">
        <f>'инновации+добровольчество0,3643'!D54</f>
        <v xml:space="preserve">Ед. </v>
      </c>
      <c r="E47" s="212">
        <f>E46</f>
        <v>0.36430000000000001</v>
      </c>
      <c r="F47" s="320">
        <f>'инновации+добровольчество0,3643'!F54</f>
        <v>8200</v>
      </c>
      <c r="G47" s="77">
        <f>E47*F47</f>
        <v>2987.26</v>
      </c>
    </row>
    <row r="48" spans="1:11" hidden="1" x14ac:dyDescent="0.25">
      <c r="A48" s="706" t="str">
        <f>'инновации+добровольчество0,3643'!A55</f>
        <v xml:space="preserve">Проживание </v>
      </c>
      <c r="B48" s="707"/>
      <c r="C48" s="310"/>
      <c r="D48" s="307" t="str">
        <f>'инновации+добровольчество0,3643'!D55</f>
        <v>сутки</v>
      </c>
      <c r="E48" s="212">
        <f>E46</f>
        <v>0.36430000000000001</v>
      </c>
      <c r="F48" s="320">
        <f>'инновации+добровольчество0,3643'!F55</f>
        <v>2463.7600000000002</v>
      </c>
      <c r="G48" s="77">
        <f>E48*F48</f>
        <v>897.54776800000013</v>
      </c>
    </row>
    <row r="49" spans="1:10" hidden="1" x14ac:dyDescent="0.25">
      <c r="A49" s="309" t="e">
        <f>'инновации+добровольчество0,3643'!#REF!</f>
        <v>#REF!</v>
      </c>
      <c r="B49" s="211"/>
      <c r="C49" s="211"/>
      <c r="D49" s="307" t="e">
        <f>'инновации+добровольчество0,3643'!#REF!</f>
        <v>#REF!</v>
      </c>
      <c r="E49" s="212">
        <f>E46</f>
        <v>0.36430000000000001</v>
      </c>
      <c r="F49" s="320" t="e">
        <f>'инновации+добровольчество0,3643'!#REF!</f>
        <v>#REF!</v>
      </c>
      <c r="G49" s="77">
        <v>0</v>
      </c>
    </row>
    <row r="50" spans="1:10" ht="18.75" hidden="1" x14ac:dyDescent="0.25">
      <c r="A50" s="708" t="s">
        <v>58</v>
      </c>
      <c r="B50" s="709"/>
      <c r="C50" s="709"/>
      <c r="D50" s="709"/>
      <c r="E50" s="709"/>
      <c r="F50" s="710"/>
      <c r="G50" s="252">
        <v>0</v>
      </c>
    </row>
    <row r="51" spans="1:10" x14ac:dyDescent="0.25">
      <c r="A51" s="729" t="s">
        <v>118</v>
      </c>
      <c r="B51" s="729"/>
      <c r="C51" s="729"/>
      <c r="D51" s="729"/>
      <c r="E51" s="729"/>
      <c r="F51" s="729"/>
    </row>
    <row r="52" spans="1:10" ht="15.6" customHeight="1" x14ac:dyDescent="0.25">
      <c r="D52" s="150"/>
      <c r="F52" s="151">
        <v>1</v>
      </c>
    </row>
    <row r="53" spans="1:10" ht="12" customHeight="1" x14ac:dyDescent="0.25">
      <c r="A53" s="703" t="s">
        <v>121</v>
      </c>
      <c r="B53" s="703"/>
      <c r="C53" s="307"/>
      <c r="D53" s="703" t="s">
        <v>11</v>
      </c>
      <c r="E53" s="703" t="s">
        <v>48</v>
      </c>
      <c r="F53" s="703" t="s">
        <v>15</v>
      </c>
      <c r="G53" s="741" t="s">
        <v>6</v>
      </c>
      <c r="J53" s="174"/>
    </row>
    <row r="54" spans="1:10" ht="9" hidden="1" customHeight="1" x14ac:dyDescent="0.25">
      <c r="A54" s="703"/>
      <c r="B54" s="703"/>
      <c r="C54" s="307"/>
      <c r="D54" s="703"/>
      <c r="E54" s="703"/>
      <c r="F54" s="703"/>
      <c r="G54" s="741"/>
      <c r="J54" s="151"/>
    </row>
    <row r="55" spans="1:10" x14ac:dyDescent="0.25">
      <c r="A55" s="703">
        <v>1</v>
      </c>
      <c r="B55" s="703"/>
      <c r="C55" s="307"/>
      <c r="D55" s="307">
        <v>2</v>
      </c>
      <c r="E55" s="307">
        <v>3</v>
      </c>
      <c r="F55" s="307">
        <v>4</v>
      </c>
      <c r="G55" s="260" t="s">
        <v>68</v>
      </c>
    </row>
    <row r="56" spans="1:10" x14ac:dyDescent="0.25">
      <c r="A56" s="450" t="s">
        <v>319</v>
      </c>
      <c r="B56" s="307"/>
      <c r="C56" s="307"/>
      <c r="D56" s="307"/>
      <c r="E56" s="86"/>
      <c r="F56" s="87"/>
      <c r="G56" s="260"/>
    </row>
    <row r="57" spans="1:10" x14ac:dyDescent="0.25">
      <c r="A57" s="452" t="s">
        <v>223</v>
      </c>
      <c r="B57" s="307"/>
      <c r="C57" s="307"/>
      <c r="D57" s="307"/>
      <c r="E57" s="86">
        <v>10</v>
      </c>
      <c r="F57" s="87">
        <v>8200</v>
      </c>
      <c r="G57" s="260">
        <f t="shared" ref="G57:G77" si="1">E57*F57</f>
        <v>82000</v>
      </c>
    </row>
    <row r="58" spans="1:10" x14ac:dyDescent="0.25">
      <c r="A58" s="452" t="s">
        <v>305</v>
      </c>
      <c r="B58" s="307"/>
      <c r="C58" s="307"/>
      <c r="D58" s="307"/>
      <c r="E58" s="383">
        <v>10</v>
      </c>
      <c r="F58" s="384">
        <v>1000</v>
      </c>
      <c r="G58" s="260">
        <f t="shared" si="1"/>
        <v>10000</v>
      </c>
    </row>
    <row r="59" spans="1:10" x14ac:dyDescent="0.25">
      <c r="A59" s="452" t="s">
        <v>320</v>
      </c>
      <c r="B59" s="307"/>
      <c r="C59" s="307"/>
      <c r="D59" s="307"/>
      <c r="E59" s="86">
        <v>20</v>
      </c>
      <c r="F59" s="87">
        <v>450</v>
      </c>
      <c r="G59" s="260">
        <f t="shared" si="1"/>
        <v>9000</v>
      </c>
    </row>
    <row r="60" spans="1:10" ht="25.5" x14ac:dyDescent="0.25">
      <c r="A60" s="450" t="s">
        <v>321</v>
      </c>
      <c r="B60" s="307"/>
      <c r="C60" s="307"/>
      <c r="D60" s="307"/>
      <c r="E60" s="86"/>
      <c r="F60" s="87"/>
      <c r="G60" s="260"/>
    </row>
    <row r="61" spans="1:10" x14ac:dyDescent="0.25">
      <c r="A61" s="452" t="s">
        <v>292</v>
      </c>
      <c r="B61" s="307"/>
      <c r="C61" s="307"/>
      <c r="D61" s="307"/>
      <c r="E61" s="86">
        <v>10</v>
      </c>
      <c r="F61" s="87">
        <v>4600</v>
      </c>
      <c r="G61" s="260">
        <f t="shared" si="1"/>
        <v>46000</v>
      </c>
    </row>
    <row r="62" spans="1:10" x14ac:dyDescent="0.25">
      <c r="A62" s="452" t="s">
        <v>305</v>
      </c>
      <c r="B62" s="307"/>
      <c r="C62" s="307"/>
      <c r="D62" s="307"/>
      <c r="E62" s="383">
        <v>10</v>
      </c>
      <c r="F62" s="384">
        <v>460</v>
      </c>
      <c r="G62" s="260">
        <f t="shared" si="1"/>
        <v>4600</v>
      </c>
    </row>
    <row r="63" spans="1:10" x14ac:dyDescent="0.25">
      <c r="A63" s="452" t="s">
        <v>293</v>
      </c>
      <c r="B63" s="307"/>
      <c r="C63" s="307"/>
      <c r="D63" s="307"/>
      <c r="E63" s="383">
        <v>40</v>
      </c>
      <c r="F63" s="384">
        <v>450</v>
      </c>
      <c r="G63" s="260">
        <f t="shared" si="1"/>
        <v>18000</v>
      </c>
    </row>
    <row r="64" spans="1:10" x14ac:dyDescent="0.25">
      <c r="A64" s="450" t="s">
        <v>226</v>
      </c>
      <c r="B64" s="86"/>
      <c r="C64" s="307"/>
      <c r="D64" s="307"/>
      <c r="E64" s="86"/>
      <c r="F64" s="384"/>
      <c r="G64" s="260"/>
    </row>
    <row r="65" spans="1:7" x14ac:dyDescent="0.25">
      <c r="A65" s="452" t="s">
        <v>223</v>
      </c>
      <c r="B65" s="86"/>
      <c r="C65" s="307"/>
      <c r="D65" s="307"/>
      <c r="E65" s="86">
        <v>10</v>
      </c>
      <c r="F65" s="87">
        <v>3420</v>
      </c>
      <c r="G65" s="260">
        <f>E65*F65</f>
        <v>34200</v>
      </c>
    </row>
    <row r="66" spans="1:7" x14ac:dyDescent="0.25">
      <c r="A66" s="452" t="s">
        <v>306</v>
      </c>
      <c r="B66" s="86"/>
      <c r="C66" s="307"/>
      <c r="D66" s="307"/>
      <c r="E66" s="86">
        <v>10</v>
      </c>
      <c r="F66" s="87">
        <v>350</v>
      </c>
      <c r="G66" s="260">
        <f>E66*F66+50</f>
        <v>3550</v>
      </c>
    </row>
    <row r="67" spans="1:7" x14ac:dyDescent="0.25">
      <c r="A67" s="450" t="s">
        <v>322</v>
      </c>
      <c r="B67" s="307"/>
      <c r="C67" s="307"/>
      <c r="D67" s="307"/>
      <c r="E67" s="383"/>
      <c r="F67" s="384"/>
      <c r="G67" s="260"/>
    </row>
    <row r="68" spans="1:7" x14ac:dyDescent="0.25">
      <c r="A68" s="452" t="s">
        <v>223</v>
      </c>
      <c r="B68" s="307"/>
      <c r="C68" s="307"/>
      <c r="D68" s="307"/>
      <c r="E68" s="86">
        <v>4</v>
      </c>
      <c r="F68" s="87">
        <v>4100</v>
      </c>
      <c r="G68" s="260">
        <f t="shared" si="1"/>
        <v>16400</v>
      </c>
    </row>
    <row r="69" spans="1:7" x14ac:dyDescent="0.25">
      <c r="A69" s="452" t="s">
        <v>224</v>
      </c>
      <c r="B69" s="307"/>
      <c r="C69" s="307"/>
      <c r="D69" s="307"/>
      <c r="E69" s="86">
        <v>4</v>
      </c>
      <c r="F69" s="87">
        <v>1000</v>
      </c>
      <c r="G69" s="260">
        <f t="shared" si="1"/>
        <v>4000</v>
      </c>
    </row>
    <row r="70" spans="1:7" x14ac:dyDescent="0.25">
      <c r="A70" s="452" t="s">
        <v>225</v>
      </c>
      <c r="B70" s="307"/>
      <c r="C70" s="307"/>
      <c r="D70" s="307"/>
      <c r="E70" s="383">
        <v>6</v>
      </c>
      <c r="F70" s="384">
        <v>450</v>
      </c>
      <c r="G70" s="260">
        <f t="shared" si="1"/>
        <v>2700</v>
      </c>
    </row>
    <row r="71" spans="1:7" x14ac:dyDescent="0.25">
      <c r="A71" s="450" t="s">
        <v>323</v>
      </c>
      <c r="B71" s="307"/>
      <c r="C71" s="307"/>
      <c r="D71" s="307"/>
      <c r="E71" s="86"/>
      <c r="F71" s="87"/>
      <c r="G71" s="260"/>
    </row>
    <row r="72" spans="1:7" x14ac:dyDescent="0.25">
      <c r="A72" s="452" t="s">
        <v>324</v>
      </c>
      <c r="B72" s="307"/>
      <c r="C72" s="307"/>
      <c r="D72" s="307"/>
      <c r="E72" s="383">
        <v>8</v>
      </c>
      <c r="F72" s="384">
        <v>4100</v>
      </c>
      <c r="G72" s="260">
        <f t="shared" si="1"/>
        <v>32800</v>
      </c>
    </row>
    <row r="73" spans="1:7" x14ac:dyDescent="0.25">
      <c r="A73" s="452" t="s">
        <v>325</v>
      </c>
      <c r="B73" s="307"/>
      <c r="C73" s="307"/>
      <c r="D73" s="307"/>
      <c r="E73" s="86">
        <v>5</v>
      </c>
      <c r="F73" s="87">
        <v>2000</v>
      </c>
      <c r="G73" s="260">
        <f t="shared" si="1"/>
        <v>10000</v>
      </c>
    </row>
    <row r="74" spans="1:7" x14ac:dyDescent="0.25">
      <c r="A74" s="452" t="s">
        <v>326</v>
      </c>
      <c r="B74" s="307"/>
      <c r="C74" s="307"/>
      <c r="D74" s="307"/>
      <c r="E74" s="86">
        <v>15</v>
      </c>
      <c r="F74" s="87">
        <v>450</v>
      </c>
      <c r="G74" s="260">
        <f t="shared" si="1"/>
        <v>6750</v>
      </c>
    </row>
    <row r="75" spans="1:7" x14ac:dyDescent="0.25">
      <c r="A75" s="450" t="s">
        <v>327</v>
      </c>
      <c r="B75" s="307"/>
      <c r="C75" s="307"/>
      <c r="D75" s="307"/>
      <c r="E75" s="86">
        <v>10</v>
      </c>
      <c r="F75" s="87">
        <v>40564</v>
      </c>
      <c r="G75" s="260">
        <f t="shared" si="1"/>
        <v>405640</v>
      </c>
    </row>
    <row r="76" spans="1:7" x14ac:dyDescent="0.25">
      <c r="A76" s="450" t="s">
        <v>328</v>
      </c>
      <c r="B76" s="307"/>
      <c r="C76" s="307"/>
      <c r="D76" s="307"/>
      <c r="E76" s="86">
        <v>1</v>
      </c>
      <c r="F76" s="87">
        <v>1800</v>
      </c>
      <c r="G76" s="260">
        <f t="shared" si="1"/>
        <v>1800</v>
      </c>
    </row>
    <row r="77" spans="1:7" x14ac:dyDescent="0.25">
      <c r="A77" s="450" t="s">
        <v>329</v>
      </c>
      <c r="B77" s="450"/>
      <c r="C77" s="451"/>
      <c r="D77" s="86"/>
      <c r="E77" s="86">
        <v>1</v>
      </c>
      <c r="F77" s="87">
        <v>1800</v>
      </c>
      <c r="G77" s="260">
        <f t="shared" si="1"/>
        <v>1800</v>
      </c>
    </row>
    <row r="78" spans="1:7" x14ac:dyDescent="0.25">
      <c r="A78" s="450" t="s">
        <v>330</v>
      </c>
      <c r="B78" s="452"/>
      <c r="C78" s="452"/>
      <c r="D78" s="86" t="s">
        <v>122</v>
      </c>
      <c r="E78" s="86">
        <v>1</v>
      </c>
      <c r="F78" s="87">
        <v>1800</v>
      </c>
      <c r="G78" s="260">
        <f>E78*F78</f>
        <v>1800</v>
      </c>
    </row>
    <row r="79" spans="1:7" x14ac:dyDescent="0.25">
      <c r="A79" s="450" t="s">
        <v>331</v>
      </c>
      <c r="B79" s="452"/>
      <c r="C79" s="452"/>
      <c r="D79" s="86" t="s">
        <v>123</v>
      </c>
      <c r="E79" s="86">
        <v>1</v>
      </c>
      <c r="F79" s="87">
        <v>1800</v>
      </c>
      <c r="G79" s="260">
        <f t="shared" ref="G79:G103" si="2">E79*F79</f>
        <v>1800</v>
      </c>
    </row>
    <row r="80" spans="1:7" x14ac:dyDescent="0.25">
      <c r="A80" s="453" t="s">
        <v>332</v>
      </c>
      <c r="B80" s="452"/>
      <c r="C80" s="451"/>
      <c r="D80" s="86" t="s">
        <v>123</v>
      </c>
      <c r="E80" s="86">
        <v>15</v>
      </c>
      <c r="F80" s="87">
        <v>1800</v>
      </c>
      <c r="G80" s="260">
        <f t="shared" si="2"/>
        <v>27000</v>
      </c>
    </row>
    <row r="81" spans="1:7" ht="25.5" customHeight="1" x14ac:dyDescent="0.25">
      <c r="A81" s="453" t="s">
        <v>333</v>
      </c>
      <c r="B81" s="450"/>
      <c r="C81" s="452"/>
      <c r="D81" s="86"/>
      <c r="E81" s="86">
        <v>15</v>
      </c>
      <c r="F81" s="87">
        <v>1100</v>
      </c>
      <c r="G81" s="260">
        <f t="shared" si="2"/>
        <v>16500</v>
      </c>
    </row>
    <row r="82" spans="1:7" x14ac:dyDescent="0.25">
      <c r="A82" s="453" t="s">
        <v>334</v>
      </c>
      <c r="B82" s="452"/>
      <c r="C82" s="452"/>
      <c r="D82" s="86" t="s">
        <v>122</v>
      </c>
      <c r="E82" s="86">
        <v>20</v>
      </c>
      <c r="F82" s="87">
        <v>700</v>
      </c>
      <c r="G82" s="260">
        <f t="shared" si="2"/>
        <v>14000</v>
      </c>
    </row>
    <row r="83" spans="1:7" x14ac:dyDescent="0.25">
      <c r="A83" s="453" t="s">
        <v>335</v>
      </c>
      <c r="B83" s="452"/>
      <c r="C83" s="451"/>
      <c r="D83" s="86" t="s">
        <v>123</v>
      </c>
      <c r="E83" s="86">
        <v>20</v>
      </c>
      <c r="F83" s="87">
        <v>1200</v>
      </c>
      <c r="G83" s="260">
        <f t="shared" si="2"/>
        <v>24000</v>
      </c>
    </row>
    <row r="84" spans="1:7" x14ac:dyDescent="0.25">
      <c r="A84" s="453" t="s">
        <v>336</v>
      </c>
      <c r="B84" s="452"/>
      <c r="C84" s="453"/>
      <c r="D84" s="86" t="s">
        <v>123</v>
      </c>
      <c r="E84" s="86">
        <v>10</v>
      </c>
      <c r="F84" s="87">
        <v>1600</v>
      </c>
      <c r="G84" s="260">
        <f t="shared" si="2"/>
        <v>16000</v>
      </c>
    </row>
    <row r="85" spans="1:7" ht="25.5" customHeight="1" x14ac:dyDescent="0.25">
      <c r="A85" s="453" t="s">
        <v>337</v>
      </c>
      <c r="B85" s="450"/>
      <c r="C85" s="452"/>
      <c r="D85" s="86"/>
      <c r="E85" s="86">
        <v>10</v>
      </c>
      <c r="F85" s="87">
        <v>1800</v>
      </c>
      <c r="G85" s="260">
        <f t="shared" si="2"/>
        <v>18000</v>
      </c>
    </row>
    <row r="86" spans="1:7" x14ac:dyDescent="0.25">
      <c r="A86" s="453" t="s">
        <v>338</v>
      </c>
      <c r="B86" s="452"/>
      <c r="C86" s="452"/>
      <c r="D86" s="86" t="s">
        <v>122</v>
      </c>
      <c r="E86" s="86">
        <v>4</v>
      </c>
      <c r="F86" s="87">
        <v>1500</v>
      </c>
      <c r="G86" s="260">
        <f t="shared" si="2"/>
        <v>6000</v>
      </c>
    </row>
    <row r="87" spans="1:7" x14ac:dyDescent="0.25">
      <c r="A87" s="453" t="s">
        <v>339</v>
      </c>
      <c r="B87" s="452"/>
      <c r="C87" s="451"/>
      <c r="D87" s="86" t="s">
        <v>123</v>
      </c>
      <c r="E87" s="86">
        <v>2</v>
      </c>
      <c r="F87" s="87">
        <v>500</v>
      </c>
      <c r="G87" s="260">
        <f t="shared" si="2"/>
        <v>1000</v>
      </c>
    </row>
    <row r="88" spans="1:7" x14ac:dyDescent="0.25">
      <c r="A88" s="453" t="s">
        <v>340</v>
      </c>
      <c r="B88" s="451"/>
      <c r="C88" s="454"/>
      <c r="D88" s="86"/>
      <c r="E88" s="86">
        <v>4</v>
      </c>
      <c r="F88" s="87">
        <v>400</v>
      </c>
      <c r="G88" s="260">
        <f t="shared" si="2"/>
        <v>1600</v>
      </c>
    </row>
    <row r="89" spans="1:7" x14ac:dyDescent="0.25">
      <c r="A89" s="453" t="s">
        <v>341</v>
      </c>
      <c r="B89" s="452"/>
      <c r="C89" s="452"/>
      <c r="D89" s="86" t="s">
        <v>122</v>
      </c>
      <c r="E89" s="86">
        <v>1</v>
      </c>
      <c r="F89" s="87">
        <v>400</v>
      </c>
      <c r="G89" s="260">
        <f t="shared" si="2"/>
        <v>400</v>
      </c>
    </row>
    <row r="90" spans="1:7" x14ac:dyDescent="0.25">
      <c r="A90" s="453" t="s">
        <v>342</v>
      </c>
      <c r="B90" s="452"/>
      <c r="C90" s="452"/>
      <c r="D90" s="86" t="s">
        <v>123</v>
      </c>
      <c r="E90" s="86">
        <v>5</v>
      </c>
      <c r="F90" s="87">
        <v>1500</v>
      </c>
      <c r="G90" s="260">
        <f t="shared" si="2"/>
        <v>7500</v>
      </c>
    </row>
    <row r="91" spans="1:7" x14ac:dyDescent="0.25">
      <c r="A91" s="453" t="s">
        <v>343</v>
      </c>
      <c r="B91" s="450"/>
      <c r="C91" s="452"/>
      <c r="D91" s="86"/>
      <c r="E91" s="86">
        <v>4</v>
      </c>
      <c r="F91" s="87">
        <v>3500</v>
      </c>
      <c r="G91" s="260">
        <f t="shared" si="2"/>
        <v>14000</v>
      </c>
    </row>
    <row r="92" spans="1:7" x14ac:dyDescent="0.25">
      <c r="A92" s="453" t="s">
        <v>344</v>
      </c>
      <c r="B92" s="452"/>
      <c r="C92" s="451"/>
      <c r="D92" s="86" t="s">
        <v>122</v>
      </c>
      <c r="E92" s="86">
        <v>10</v>
      </c>
      <c r="F92" s="87">
        <v>1200</v>
      </c>
      <c r="G92" s="260">
        <f t="shared" si="2"/>
        <v>12000</v>
      </c>
    </row>
    <row r="93" spans="1:7" x14ac:dyDescent="0.25">
      <c r="A93" s="453" t="s">
        <v>345</v>
      </c>
      <c r="B93" s="452"/>
      <c r="C93" s="452"/>
      <c r="D93" s="86" t="s">
        <v>123</v>
      </c>
      <c r="E93" s="86">
        <v>20</v>
      </c>
      <c r="F93" s="87">
        <v>250</v>
      </c>
      <c r="G93" s="260">
        <f t="shared" si="2"/>
        <v>5000</v>
      </c>
    </row>
    <row r="94" spans="1:7" ht="17.25" customHeight="1" x14ac:dyDescent="0.25">
      <c r="A94" s="450" t="s">
        <v>346</v>
      </c>
      <c r="B94" s="450"/>
      <c r="C94" s="452"/>
      <c r="D94" s="86"/>
      <c r="E94" s="86">
        <v>48</v>
      </c>
      <c r="F94" s="87">
        <v>4628.71</v>
      </c>
      <c r="G94" s="260">
        <v>222178</v>
      </c>
    </row>
    <row r="95" spans="1:7" x14ac:dyDescent="0.25">
      <c r="A95" s="450" t="s">
        <v>347</v>
      </c>
      <c r="B95" s="452"/>
      <c r="C95" s="451"/>
      <c r="D95" s="86" t="s">
        <v>122</v>
      </c>
      <c r="E95" s="86">
        <v>10</v>
      </c>
      <c r="F95" s="87">
        <v>62.2</v>
      </c>
      <c r="G95" s="260">
        <f t="shared" si="2"/>
        <v>622</v>
      </c>
    </row>
    <row r="96" spans="1:7" x14ac:dyDescent="0.25">
      <c r="A96" s="450" t="s">
        <v>348</v>
      </c>
      <c r="B96" s="452"/>
      <c r="C96" s="452"/>
      <c r="D96" s="86" t="s">
        <v>123</v>
      </c>
      <c r="E96" s="86">
        <v>1</v>
      </c>
      <c r="F96" s="87">
        <v>39000</v>
      </c>
      <c r="G96" s="260">
        <f t="shared" si="2"/>
        <v>39000</v>
      </c>
    </row>
    <row r="97" spans="1:9" x14ac:dyDescent="0.25">
      <c r="A97" s="450" t="s">
        <v>349</v>
      </c>
      <c r="B97" s="450"/>
      <c r="C97" s="452"/>
      <c r="D97" s="86"/>
      <c r="E97" s="86">
        <v>1</v>
      </c>
      <c r="F97" s="87">
        <v>7200</v>
      </c>
      <c r="G97" s="260">
        <f t="shared" si="2"/>
        <v>7200</v>
      </c>
    </row>
    <row r="98" spans="1:9" x14ac:dyDescent="0.25">
      <c r="A98" s="450" t="s">
        <v>350</v>
      </c>
      <c r="B98" s="452"/>
      <c r="C98" s="451"/>
      <c r="D98" s="86" t="s">
        <v>122</v>
      </c>
      <c r="E98" s="86">
        <v>1</v>
      </c>
      <c r="F98" s="87">
        <v>4500</v>
      </c>
      <c r="G98" s="260">
        <f t="shared" si="2"/>
        <v>4500</v>
      </c>
    </row>
    <row r="99" spans="1:9" x14ac:dyDescent="0.25">
      <c r="A99" s="453" t="s">
        <v>351</v>
      </c>
      <c r="B99" s="452"/>
      <c r="C99" s="452"/>
      <c r="D99" s="86" t="s">
        <v>123</v>
      </c>
      <c r="E99" s="86">
        <v>1000</v>
      </c>
      <c r="F99" s="87">
        <v>15</v>
      </c>
      <c r="G99" s="260">
        <f t="shared" si="2"/>
        <v>15000</v>
      </c>
    </row>
    <row r="100" spans="1:9" x14ac:dyDescent="0.25">
      <c r="A100" s="453" t="s">
        <v>352</v>
      </c>
      <c r="B100" s="452"/>
      <c r="C100" s="452"/>
      <c r="D100" s="86" t="s">
        <v>123</v>
      </c>
      <c r="E100" s="86">
        <v>150</v>
      </c>
      <c r="F100" s="87">
        <v>20</v>
      </c>
      <c r="G100" s="260">
        <f t="shared" si="2"/>
        <v>3000</v>
      </c>
    </row>
    <row r="101" spans="1:9" ht="19.5" customHeight="1" x14ac:dyDescent="0.25">
      <c r="A101" s="453" t="s">
        <v>353</v>
      </c>
      <c r="B101" s="450"/>
      <c r="C101" s="452"/>
      <c r="D101" s="86" t="s">
        <v>84</v>
      </c>
      <c r="E101" s="86">
        <v>400</v>
      </c>
      <c r="F101" s="87">
        <v>30</v>
      </c>
      <c r="G101" s="260">
        <f t="shared" si="2"/>
        <v>12000</v>
      </c>
    </row>
    <row r="102" spans="1:9" ht="15.75" customHeight="1" x14ac:dyDescent="0.25">
      <c r="A102" s="453" t="s">
        <v>354</v>
      </c>
      <c r="B102" s="450"/>
      <c r="C102" s="450"/>
      <c r="D102" s="328" t="s">
        <v>84</v>
      </c>
      <c r="E102" s="86">
        <v>500</v>
      </c>
      <c r="F102" s="87">
        <v>40</v>
      </c>
      <c r="G102" s="260">
        <f t="shared" si="2"/>
        <v>20000</v>
      </c>
    </row>
    <row r="103" spans="1:9" x14ac:dyDescent="0.25">
      <c r="A103" s="450" t="s">
        <v>294</v>
      </c>
      <c r="B103" s="450"/>
      <c r="C103" s="452"/>
      <c r="D103" s="86" t="s">
        <v>84</v>
      </c>
      <c r="E103" s="86">
        <v>10</v>
      </c>
      <c r="F103" s="87">
        <v>600</v>
      </c>
      <c r="G103" s="260">
        <f t="shared" si="2"/>
        <v>6000</v>
      </c>
    </row>
    <row r="104" spans="1:9" ht="18.75" x14ac:dyDescent="0.25">
      <c r="A104" s="152"/>
      <c r="B104" s="152"/>
      <c r="C104" s="152"/>
      <c r="D104" s="152"/>
      <c r="E104" s="152"/>
      <c r="F104" s="152"/>
      <c r="G104" s="455">
        <f>SUM(G57:G103)</f>
        <v>1185340</v>
      </c>
    </row>
    <row r="105" spans="1:9" ht="18.75" x14ac:dyDescent="0.25">
      <c r="A105" s="261"/>
      <c r="B105" s="261"/>
      <c r="C105" s="261"/>
      <c r="D105" s="261"/>
      <c r="E105" s="261"/>
      <c r="F105" s="261"/>
      <c r="G105" s="239"/>
    </row>
    <row r="106" spans="1:9" ht="18.75" x14ac:dyDescent="0.25">
      <c r="A106" s="261"/>
      <c r="B106" s="261"/>
      <c r="C106" s="261"/>
      <c r="D106" s="261"/>
      <c r="E106" s="261"/>
      <c r="F106" s="261"/>
      <c r="G106" s="239"/>
    </row>
    <row r="107" spans="1:9" ht="18.75" x14ac:dyDescent="0.25">
      <c r="A107" s="261"/>
      <c r="B107" s="261"/>
      <c r="C107" s="261"/>
      <c r="D107" s="261"/>
      <c r="E107" s="261"/>
      <c r="F107" s="261"/>
      <c r="G107" s="239"/>
    </row>
    <row r="108" spans="1:9" ht="32.25" customHeight="1" x14ac:dyDescent="0.25">
      <c r="A108" s="711" t="str">
        <f>'таланты+инициативы0,2714'!A82:F82</f>
        <v xml:space="preserve">Затраты на оплату труда работников, непосредственно НЕ связанных с выполнением работы </v>
      </c>
      <c r="B108" s="711"/>
      <c r="C108" s="711"/>
      <c r="D108" s="711"/>
      <c r="E108" s="711"/>
      <c r="F108" s="711"/>
    </row>
    <row r="109" spans="1:9" x14ac:dyDescent="0.25">
      <c r="A109" s="10"/>
      <c r="B109" s="10"/>
      <c r="C109" s="10"/>
      <c r="D109" s="10"/>
      <c r="E109" s="10"/>
      <c r="F109" s="89">
        <f>D43</f>
        <v>0.36430000000000001</v>
      </c>
    </row>
    <row r="110" spans="1:9" ht="31.5" customHeight="1" x14ac:dyDescent="0.25">
      <c r="A110" s="279" t="s">
        <v>0</v>
      </c>
      <c r="B110" s="546" t="s">
        <v>1</v>
      </c>
      <c r="C110" s="94"/>
      <c r="D110" s="546" t="s">
        <v>2</v>
      </c>
      <c r="E110" s="538" t="s">
        <v>3</v>
      </c>
      <c r="F110" s="539"/>
      <c r="G110" s="547" t="s">
        <v>35</v>
      </c>
      <c r="H110" s="94" t="s">
        <v>5</v>
      </c>
      <c r="I110" s="546" t="s">
        <v>6</v>
      </c>
    </row>
    <row r="111" spans="1:9" ht="30" x14ac:dyDescent="0.25">
      <c r="A111" s="338"/>
      <c r="B111" s="546"/>
      <c r="C111" s="94"/>
      <c r="D111" s="546"/>
      <c r="E111" s="94" t="s">
        <v>301</v>
      </c>
      <c r="F111" s="94" t="s">
        <v>313</v>
      </c>
      <c r="G111" s="547"/>
      <c r="H111" s="94" t="s">
        <v>51</v>
      </c>
      <c r="I111" s="546"/>
    </row>
    <row r="112" spans="1:9" x14ac:dyDescent="0.25">
      <c r="A112" s="339"/>
      <c r="B112" s="546"/>
      <c r="C112" s="94"/>
      <c r="D112" s="546"/>
      <c r="E112" s="94" t="s">
        <v>4</v>
      </c>
      <c r="F112" s="49"/>
      <c r="G112" s="547"/>
      <c r="H112" s="94" t="s">
        <v>303</v>
      </c>
      <c r="I112" s="546"/>
    </row>
    <row r="113" spans="1:10" x14ac:dyDescent="0.25">
      <c r="A113" s="688">
        <v>1</v>
      </c>
      <c r="B113" s="546">
        <v>2</v>
      </c>
      <c r="C113" s="94"/>
      <c r="D113" s="546">
        <v>3</v>
      </c>
      <c r="E113" s="546" t="s">
        <v>302</v>
      </c>
      <c r="F113" s="546">
        <v>5</v>
      </c>
      <c r="G113" s="547" t="s">
        <v>7</v>
      </c>
      <c r="H113" s="94" t="s">
        <v>52</v>
      </c>
      <c r="I113" s="546" t="s">
        <v>53</v>
      </c>
    </row>
    <row r="114" spans="1:10" x14ac:dyDescent="0.25">
      <c r="A114" s="688"/>
      <c r="B114" s="546"/>
      <c r="C114" s="94"/>
      <c r="D114" s="546"/>
      <c r="E114" s="546"/>
      <c r="F114" s="546"/>
      <c r="G114" s="547"/>
      <c r="H114" s="50">
        <v>1775.4</v>
      </c>
      <c r="I114" s="546"/>
    </row>
    <row r="115" spans="1:10" x14ac:dyDescent="0.25">
      <c r="A115" s="340" t="str">
        <f>'инновации+добровольчество0,3643'!A82</f>
        <v>Заведующий МЦ</v>
      </c>
      <c r="B115" s="83">
        <f>'таланты+инициативы0,2714'!B99</f>
        <v>124826.37</v>
      </c>
      <c r="C115" s="83"/>
      <c r="D115" s="94">
        <f>1*F109</f>
        <v>0.36430000000000001</v>
      </c>
      <c r="E115" s="52">
        <f>D115*1774.4</f>
        <v>646.41392000000008</v>
      </c>
      <c r="F115" s="53">
        <v>1</v>
      </c>
      <c r="G115" s="54">
        <f>E115/F115</f>
        <v>646.41392000000008</v>
      </c>
      <c r="H115" s="52">
        <f>B115*1.302/1774.4*12</f>
        <v>1099.1248900360683</v>
      </c>
      <c r="I115" s="52">
        <f>G115*H115+15049.48</f>
        <v>725539.10873778397</v>
      </c>
    </row>
    <row r="116" spans="1:10" x14ac:dyDescent="0.25">
      <c r="A116" s="340" t="str">
        <f>'инновации+добровольчество0,3643'!A83</f>
        <v>Водитель</v>
      </c>
      <c r="B116" s="83">
        <f>'таланты+инициативы0,2714'!B100</f>
        <v>37357</v>
      </c>
      <c r="C116" s="163"/>
      <c r="D116" s="94">
        <f>1*F109</f>
        <v>0.36430000000000001</v>
      </c>
      <c r="E116" s="52">
        <f>D116*1774.4</f>
        <v>646.41392000000008</v>
      </c>
      <c r="F116" s="53">
        <v>1</v>
      </c>
      <c r="G116" s="54">
        <f t="shared" ref="G116:G118" si="3">E116/F116</f>
        <v>646.41392000000008</v>
      </c>
      <c r="H116" s="52">
        <f>B116*1.302/1774.4*12</f>
        <v>328.93697475202885</v>
      </c>
      <c r="I116" s="52">
        <f>G116*H116+2000</f>
        <v>214629.43928240001</v>
      </c>
    </row>
    <row r="117" spans="1:10" x14ac:dyDescent="0.25">
      <c r="A117" s="340" t="str">
        <f>'инновации+добровольчество0,3643'!A84</f>
        <v>Рабочий по обслуживанию здания</v>
      </c>
      <c r="B117" s="83">
        <f>'таланты+инициативы0,2714'!B101</f>
        <v>37357</v>
      </c>
      <c r="C117" s="54"/>
      <c r="D117" s="94">
        <f>0.5*F109</f>
        <v>0.18215000000000001</v>
      </c>
      <c r="E117" s="52">
        <f>D117*1774.4</f>
        <v>323.20696000000004</v>
      </c>
      <c r="F117" s="53">
        <v>1</v>
      </c>
      <c r="G117" s="54">
        <f t="shared" si="3"/>
        <v>323.20696000000004</v>
      </c>
      <c r="H117" s="52">
        <f>B117*1.302/1774.4*12</f>
        <v>328.93697475202885</v>
      </c>
      <c r="I117" s="52">
        <f>G117*H117+1000</f>
        <v>107314.7196412</v>
      </c>
    </row>
    <row r="118" spans="1:10" x14ac:dyDescent="0.25">
      <c r="A118" s="340" t="str">
        <f>'инновации+добровольчество0,3643'!A85</f>
        <v>Уборщик служебных помещений</v>
      </c>
      <c r="B118" s="83">
        <f>'таланты+инициативы0,2714'!B102</f>
        <v>37357</v>
      </c>
      <c r="C118" s="294"/>
      <c r="D118" s="94">
        <f>1*F109</f>
        <v>0.36430000000000001</v>
      </c>
      <c r="E118" s="52">
        <f>D118*1774.4</f>
        <v>646.41392000000008</v>
      </c>
      <c r="F118" s="53">
        <v>1</v>
      </c>
      <c r="G118" s="54">
        <f t="shared" si="3"/>
        <v>646.41392000000008</v>
      </c>
      <c r="H118" s="52">
        <f>B118*1.302/1774.4*12</f>
        <v>328.93697475202885</v>
      </c>
      <c r="I118" s="52">
        <f>G118*H118+2000</f>
        <v>214629.43928240001</v>
      </c>
      <c r="J118" s="159"/>
    </row>
    <row r="119" spans="1:10" x14ac:dyDescent="0.25">
      <c r="A119" s="712" t="s">
        <v>28</v>
      </c>
      <c r="B119" s="713"/>
      <c r="C119" s="713"/>
      <c r="D119" s="713"/>
      <c r="E119" s="713"/>
      <c r="F119" s="714"/>
      <c r="G119" s="313"/>
      <c r="H119" s="313"/>
      <c r="I119" s="449">
        <f>SUM(I115:I118)+0.01</f>
        <v>1262112.7169437842</v>
      </c>
    </row>
    <row r="120" spans="1:10" x14ac:dyDescent="0.25">
      <c r="A120" s="341"/>
      <c r="B120" s="341"/>
      <c r="C120" s="341"/>
      <c r="D120" s="342"/>
      <c r="E120" s="342"/>
      <c r="F120" s="342"/>
      <c r="G120" s="342"/>
      <c r="H120" s="342"/>
      <c r="I120" s="343"/>
    </row>
    <row r="121" spans="1:10" s="41" customFormat="1" ht="14.45" customHeight="1" x14ac:dyDescent="0.25">
      <c r="A121" s="603" t="s">
        <v>309</v>
      </c>
      <c r="B121" s="603"/>
      <c r="C121" s="603"/>
      <c r="D121" s="540"/>
      <c r="E121" s="540"/>
      <c r="F121" s="540"/>
      <c r="G121" s="540"/>
      <c r="H121" s="540"/>
    </row>
    <row r="122" spans="1:10" s="41" customFormat="1" ht="14.45" customHeight="1" x14ac:dyDescent="0.25">
      <c r="A122" s="689" t="s">
        <v>60</v>
      </c>
      <c r="B122" s="692" t="s">
        <v>155</v>
      </c>
      <c r="C122" s="693"/>
      <c r="D122" s="698"/>
      <c r="E122" s="699"/>
      <c r="F122" s="700"/>
      <c r="G122" s="118"/>
      <c r="H122" s="118"/>
    </row>
    <row r="123" spans="1:10" s="41" customFormat="1" ht="14.45" customHeight="1" x14ac:dyDescent="0.25">
      <c r="A123" s="690"/>
      <c r="B123" s="694"/>
      <c r="C123" s="695"/>
      <c r="D123" s="701" t="s">
        <v>159</v>
      </c>
      <c r="E123" s="690" t="s">
        <v>165</v>
      </c>
      <c r="F123" s="690" t="s">
        <v>6</v>
      </c>
    </row>
    <row r="124" spans="1:10" s="41" customFormat="1" ht="15" x14ac:dyDescent="0.25">
      <c r="A124" s="691"/>
      <c r="B124" s="696"/>
      <c r="C124" s="697"/>
      <c r="D124" s="702"/>
      <c r="E124" s="691"/>
      <c r="F124" s="691"/>
    </row>
    <row r="125" spans="1:10" s="41" customFormat="1" ht="18.75" x14ac:dyDescent="0.25">
      <c r="A125" s="456">
        <v>1</v>
      </c>
      <c r="B125" s="730">
        <v>2</v>
      </c>
      <c r="C125" s="731"/>
      <c r="D125" s="456">
        <v>5</v>
      </c>
      <c r="E125" s="456">
        <v>6</v>
      </c>
      <c r="F125" s="456">
        <v>7</v>
      </c>
    </row>
    <row r="126" spans="1:10" s="41" customFormat="1" ht="18.75" x14ac:dyDescent="0.25">
      <c r="A126" s="457" t="s">
        <v>162</v>
      </c>
      <c r="B126" s="456">
        <f>F143</f>
        <v>0.36430000000000001</v>
      </c>
      <c r="C126" s="458"/>
      <c r="D126" s="459">
        <f>'таланты+инициативы0,2714'!D111</f>
        <v>26583.599999999999</v>
      </c>
      <c r="E126" s="460">
        <f t="shared" ref="E126:E128" si="4">D126*30.2%</f>
        <v>8028.2471999999989</v>
      </c>
      <c r="F126" s="460">
        <f>(D126+E126)*B126</f>
        <v>12609.09593496</v>
      </c>
    </row>
    <row r="127" spans="1:10" s="41" customFormat="1" ht="18.75" x14ac:dyDescent="0.25">
      <c r="A127" s="457" t="s">
        <v>163</v>
      </c>
      <c r="B127" s="456">
        <f>1*F109</f>
        <v>0.36430000000000001</v>
      </c>
      <c r="C127" s="458"/>
      <c r="D127" s="459">
        <f>'таланты+инициативы0,2714'!D112</f>
        <v>13297.32</v>
      </c>
      <c r="E127" s="460">
        <f t="shared" si="4"/>
        <v>4015.7906399999997</v>
      </c>
      <c r="F127" s="460">
        <f t="shared" ref="F127" si="5">(D127+E127)*B127</f>
        <v>6307.1662061520001</v>
      </c>
    </row>
    <row r="128" spans="1:10" s="41" customFormat="1" ht="18.75" x14ac:dyDescent="0.25">
      <c r="A128" s="457" t="s">
        <v>142</v>
      </c>
      <c r="B128" s="456">
        <f>1*F109</f>
        <v>0.36430000000000001</v>
      </c>
      <c r="C128" s="458"/>
      <c r="D128" s="459">
        <f>'таланты+инициативы0,2714'!D113</f>
        <v>26602.92</v>
      </c>
      <c r="E128" s="460">
        <f t="shared" si="4"/>
        <v>8034.0818399999989</v>
      </c>
      <c r="F128" s="460">
        <f>(D128+E128)*B128-15.91</f>
        <v>12602.349770311999</v>
      </c>
    </row>
    <row r="129" spans="1:8" s="41" customFormat="1" ht="18.75" x14ac:dyDescent="0.25">
      <c r="A129" s="461"/>
      <c r="B129" s="462"/>
      <c r="C129" s="463"/>
      <c r="D129" s="209"/>
      <c r="E129" s="209"/>
      <c r="F129" s="464">
        <f>F126+F127+F128</f>
        <v>31518.611911423999</v>
      </c>
    </row>
    <row r="130" spans="1:8" s="41" customFormat="1" ht="14.45" hidden="1" customHeight="1" x14ac:dyDescent="0.25">
      <c r="A130" s="603" t="s">
        <v>167</v>
      </c>
      <c r="B130" s="603"/>
      <c r="C130" s="603"/>
      <c r="D130" s="603"/>
      <c r="E130" s="603"/>
      <c r="F130" s="603"/>
      <c r="G130" s="603"/>
      <c r="H130" s="603"/>
    </row>
    <row r="131" spans="1:8" s="41" customFormat="1" ht="14.45" hidden="1" customHeight="1" x14ac:dyDescent="0.25">
      <c r="A131" s="549" t="s">
        <v>60</v>
      </c>
      <c r="B131" s="552" t="s">
        <v>155</v>
      </c>
      <c r="C131" s="720"/>
      <c r="D131" s="563" t="s">
        <v>156</v>
      </c>
      <c r="E131" s="642"/>
      <c r="F131" s="642"/>
      <c r="G131" s="642"/>
      <c r="H131" s="564"/>
    </row>
    <row r="132" spans="1:8" s="41" customFormat="1" ht="14.45" hidden="1" customHeight="1" x14ac:dyDescent="0.25">
      <c r="A132" s="550"/>
      <c r="B132" s="554"/>
      <c r="C132" s="555"/>
      <c r="D132" s="583" t="s">
        <v>157</v>
      </c>
      <c r="E132" s="549" t="s">
        <v>158</v>
      </c>
      <c r="F132" s="715" t="s">
        <v>159</v>
      </c>
      <c r="G132" s="549" t="s">
        <v>165</v>
      </c>
      <c r="H132" s="549" t="s">
        <v>6</v>
      </c>
    </row>
    <row r="133" spans="1:8" s="41" customFormat="1" ht="15" hidden="1" x14ac:dyDescent="0.25">
      <c r="A133" s="551"/>
      <c r="B133" s="556"/>
      <c r="C133" s="557"/>
      <c r="D133" s="716"/>
      <c r="E133" s="551"/>
      <c r="F133" s="562"/>
      <c r="G133" s="551"/>
      <c r="H133" s="551"/>
    </row>
    <row r="134" spans="1:8" s="41" customFormat="1" ht="15" hidden="1" x14ac:dyDescent="0.25">
      <c r="A134" s="208">
        <v>1</v>
      </c>
      <c r="B134" s="563">
        <v>2</v>
      </c>
      <c r="C134" s="564"/>
      <c r="D134" s="208">
        <v>3</v>
      </c>
      <c r="E134" s="208">
        <v>4</v>
      </c>
      <c r="F134" s="208">
        <v>5</v>
      </c>
      <c r="G134" s="208">
        <v>6</v>
      </c>
      <c r="H134" s="208">
        <v>7</v>
      </c>
    </row>
    <row r="135" spans="1:8" s="41" customFormat="1" ht="15" hidden="1" x14ac:dyDescent="0.25">
      <c r="A135" s="207" t="s">
        <v>160</v>
      </c>
      <c r="B135" s="208">
        <v>0.39300000000000002</v>
      </c>
      <c r="C135" s="283">
        <v>1</v>
      </c>
      <c r="D135" s="142">
        <v>30497.8</v>
      </c>
      <c r="E135" s="106">
        <v>41441.4</v>
      </c>
      <c r="F135" s="142">
        <f>30497.8*0.393</f>
        <v>11985.635400000001</v>
      </c>
      <c r="G135" s="173">
        <f>F135*30.2%</f>
        <v>3619.6618908</v>
      </c>
      <c r="H135" s="173">
        <f>F135+G135</f>
        <v>15605.297290800001</v>
      </c>
    </row>
    <row r="136" spans="1:8" s="41" customFormat="1" ht="15" hidden="1" x14ac:dyDescent="0.25">
      <c r="A136" s="207" t="s">
        <v>162</v>
      </c>
      <c r="B136" s="208">
        <f>1*0.393</f>
        <v>0.39300000000000002</v>
      </c>
      <c r="C136" s="283"/>
      <c r="D136" s="142">
        <v>8353.5499999999993</v>
      </c>
      <c r="E136" s="106">
        <v>11244.72</v>
      </c>
      <c r="F136" s="142">
        <f>8353.55*0.393</f>
        <v>3282.94515</v>
      </c>
      <c r="G136" s="173">
        <f>F136*30.2%</f>
        <v>991.4494353</v>
      </c>
      <c r="H136" s="173">
        <f>F136+G136</f>
        <v>4274.3945853000005</v>
      </c>
    </row>
    <row r="137" spans="1:8" s="41" customFormat="1" ht="15" hidden="1" x14ac:dyDescent="0.25">
      <c r="A137" s="207" t="s">
        <v>163</v>
      </c>
      <c r="B137" s="208">
        <f>0.5*0.393</f>
        <v>0.19650000000000001</v>
      </c>
      <c r="C137" s="283"/>
      <c r="D137" s="142">
        <v>3761.62</v>
      </c>
      <c r="E137" s="106">
        <v>4983</v>
      </c>
      <c r="F137" s="142">
        <f>3761.62*0.393</f>
        <v>1478.31666</v>
      </c>
      <c r="G137" s="173">
        <f>F137*30.2%</f>
        <v>446.45163131999999</v>
      </c>
      <c r="H137" s="173">
        <f>F137+G137</f>
        <v>1924.7682913199999</v>
      </c>
    </row>
    <row r="138" spans="1:8" s="41" customFormat="1" ht="15" hidden="1" x14ac:dyDescent="0.25">
      <c r="A138" s="207" t="s">
        <v>142</v>
      </c>
      <c r="B138" s="208">
        <f>1*0.393</f>
        <v>0.39300000000000002</v>
      </c>
      <c r="C138" s="283"/>
      <c r="D138" s="142">
        <v>6266.1</v>
      </c>
      <c r="E138" s="106">
        <v>8398.2000000000007</v>
      </c>
      <c r="F138" s="142">
        <f>6266.1*0.393</f>
        <v>2462.5773000000004</v>
      </c>
      <c r="G138" s="173">
        <f>F138*30.2%</f>
        <v>743.69834460000004</v>
      </c>
      <c r="H138" s="173">
        <f>F138+G138</f>
        <v>3206.2756446000003</v>
      </c>
    </row>
    <row r="139" spans="1:8" s="41" customFormat="1" ht="15" hidden="1" x14ac:dyDescent="0.25">
      <c r="A139" s="207" t="s">
        <v>164</v>
      </c>
      <c r="B139" s="208">
        <f>3*0.393</f>
        <v>1.179</v>
      </c>
      <c r="C139" s="283"/>
      <c r="D139" s="142">
        <v>20749.32</v>
      </c>
      <c r="E139" s="106">
        <v>28148.04</v>
      </c>
      <c r="F139" s="142">
        <f>20749.32*0.393</f>
        <v>8154.4827599999999</v>
      </c>
      <c r="G139" s="173">
        <f>F139*30.2%</f>
        <v>2462.6537935199999</v>
      </c>
      <c r="H139" s="173">
        <f>F139+G139</f>
        <v>10617.13655352</v>
      </c>
    </row>
    <row r="140" spans="1:8" s="41" customFormat="1" ht="18.75" hidden="1" x14ac:dyDescent="0.25">
      <c r="A140" s="145"/>
      <c r="B140" s="282"/>
      <c r="C140" s="146"/>
      <c r="D140" s="119">
        <f>SUM(D135:D139)</f>
        <v>69628.39</v>
      </c>
      <c r="E140" s="119">
        <f>SUM(E135:E139)</f>
        <v>94215.360000000015</v>
      </c>
      <c r="F140" s="119">
        <f>SUM(F135:F139)</f>
        <v>27363.957269999999</v>
      </c>
      <c r="G140" s="119">
        <f>SUM(G135:G139)</f>
        <v>8263.91509554</v>
      </c>
      <c r="H140" s="209"/>
    </row>
    <row r="141" spans="1:8" s="41" customFormat="1" ht="18.75" x14ac:dyDescent="0.25">
      <c r="A141" s="346"/>
      <c r="B141" s="347"/>
      <c r="C141" s="347"/>
      <c r="D141" s="348"/>
      <c r="E141" s="348"/>
      <c r="F141" s="348"/>
      <c r="G141" s="198"/>
      <c r="H141" s="199"/>
    </row>
    <row r="142" spans="1:8" ht="15.6" customHeight="1" x14ac:dyDescent="0.25">
      <c r="A142" s="544" t="s">
        <v>12</v>
      </c>
      <c r="B142" s="544"/>
      <c r="C142" s="544"/>
      <c r="D142" s="544"/>
      <c r="E142" s="544"/>
      <c r="F142" s="544"/>
      <c r="H142" s="159"/>
    </row>
    <row r="143" spans="1:8" x14ac:dyDescent="0.25">
      <c r="A143" s="153"/>
      <c r="B143" s="153"/>
      <c r="C143" s="153"/>
      <c r="D143" s="153"/>
      <c r="E143" s="153"/>
      <c r="F143" s="154">
        <f>F109</f>
        <v>0.36430000000000001</v>
      </c>
    </row>
    <row r="144" spans="1:8" ht="15.75" customHeight="1" x14ac:dyDescent="0.25">
      <c r="A144" s="688" t="s">
        <v>13</v>
      </c>
      <c r="B144" s="688" t="s">
        <v>11</v>
      </c>
      <c r="C144" s="317"/>
      <c r="D144" s="688" t="s">
        <v>14</v>
      </c>
      <c r="E144" s="688" t="s">
        <v>15</v>
      </c>
      <c r="F144" s="721" t="s">
        <v>6</v>
      </c>
    </row>
    <row r="145" spans="1:7" x14ac:dyDescent="0.25">
      <c r="A145" s="688"/>
      <c r="B145" s="688"/>
      <c r="C145" s="317"/>
      <c r="D145" s="688"/>
      <c r="E145" s="688"/>
      <c r="F145" s="722"/>
    </row>
    <row r="146" spans="1:7" ht="16.5" thickBot="1" x14ac:dyDescent="0.3">
      <c r="A146" s="277">
        <v>1</v>
      </c>
      <c r="B146" s="277">
        <v>2</v>
      </c>
      <c r="C146" s="277"/>
      <c r="D146" s="277">
        <v>3</v>
      </c>
      <c r="E146" s="277">
        <v>4</v>
      </c>
      <c r="F146" s="277" t="s">
        <v>174</v>
      </c>
    </row>
    <row r="147" spans="1:7" ht="16.5" thickBot="1" x14ac:dyDescent="0.3">
      <c r="A147" s="391" t="s">
        <v>17</v>
      </c>
      <c r="B147" s="420" t="s">
        <v>18</v>
      </c>
      <c r="C147" s="420"/>
      <c r="D147" s="421">
        <f>55*F143</f>
        <v>20.0365</v>
      </c>
      <c r="E147" s="374">
        <f>'таланты+инициативы0,2714'!E122</f>
        <v>3800</v>
      </c>
      <c r="F147" s="422">
        <f>D147*E147</f>
        <v>76138.7</v>
      </c>
    </row>
    <row r="148" spans="1:7" ht="19.5" thickBot="1" x14ac:dyDescent="0.3">
      <c r="A148" s="392" t="s">
        <v>237</v>
      </c>
      <c r="B148" s="317" t="s">
        <v>193</v>
      </c>
      <c r="C148" s="317"/>
      <c r="D148" s="317">
        <f>106.3*F143</f>
        <v>38.725090000000002</v>
      </c>
      <c r="E148" s="374">
        <f>'таланты+инициативы0,2714'!E123</f>
        <v>80</v>
      </c>
      <c r="F148" s="423">
        <f>D148*E148</f>
        <v>3098.0072</v>
      </c>
    </row>
    <row r="149" spans="1:7" ht="19.5" thickBot="1" x14ac:dyDescent="0.3">
      <c r="A149" s="392" t="s">
        <v>238</v>
      </c>
      <c r="B149" s="317" t="s">
        <v>54</v>
      </c>
      <c r="C149" s="317"/>
      <c r="D149" s="317">
        <f>3*F143</f>
        <v>1.0929</v>
      </c>
      <c r="E149" s="374">
        <f>'таланты+инициативы0,2714'!E124</f>
        <v>18000</v>
      </c>
      <c r="F149" s="423">
        <f t="shared" ref="F149:F152" si="6">D149*E149</f>
        <v>19672.2</v>
      </c>
    </row>
    <row r="150" spans="1:7" ht="16.5" thickBot="1" x14ac:dyDescent="0.3">
      <c r="A150" s="392" t="s">
        <v>16</v>
      </c>
      <c r="B150" s="317" t="s">
        <v>83</v>
      </c>
      <c r="C150" s="317"/>
      <c r="D150" s="91">
        <f>6*F143</f>
        <v>2.1858</v>
      </c>
      <c r="E150" s="374">
        <f>'таланты+инициативы0,2714'!E125</f>
        <v>8000</v>
      </c>
      <c r="F150" s="423">
        <f t="shared" si="6"/>
        <v>17486.400000000001</v>
      </c>
    </row>
    <row r="151" spans="1:7" ht="16.5" thickBot="1" x14ac:dyDescent="0.3">
      <c r="A151" s="392" t="s">
        <v>205</v>
      </c>
      <c r="B151" s="299" t="s">
        <v>22</v>
      </c>
      <c r="C151" s="208"/>
      <c r="D151" s="160">
        <f>8*F143</f>
        <v>2.9144000000000001</v>
      </c>
      <c r="E151" s="374">
        <f>'таланты+инициативы0,2714'!E126</f>
        <v>2350</v>
      </c>
      <c r="F151" s="423">
        <f t="shared" si="6"/>
        <v>6848.84</v>
      </c>
    </row>
    <row r="152" spans="1:7" ht="16.5" thickBot="1" x14ac:dyDescent="0.3">
      <c r="A152" s="393" t="s">
        <v>239</v>
      </c>
      <c r="B152" s="424" t="s">
        <v>83</v>
      </c>
      <c r="C152" s="425"/>
      <c r="D152" s="426">
        <f>5*F143</f>
        <v>1.8215000000000001</v>
      </c>
      <c r="E152" s="374">
        <f>'таланты+инициативы0,2714'!E127</f>
        <v>8339.2000000000007</v>
      </c>
      <c r="F152" s="427">
        <f t="shared" si="6"/>
        <v>15189.852800000002</v>
      </c>
    </row>
    <row r="153" spans="1:7" ht="18.75" x14ac:dyDescent="0.25">
      <c r="A153" s="728"/>
      <c r="B153" s="728"/>
      <c r="C153" s="728"/>
      <c r="D153" s="728"/>
      <c r="E153" s="728"/>
      <c r="F153" s="465">
        <f>SUM(F147:F152)</f>
        <v>138434</v>
      </c>
    </row>
    <row r="154" spans="1:7" hidden="1" x14ac:dyDescent="0.25">
      <c r="A154" s="89"/>
      <c r="B154" s="89"/>
      <c r="C154" s="89"/>
      <c r="D154" s="89"/>
      <c r="E154" s="89"/>
      <c r="F154" s="90"/>
    </row>
    <row r="155" spans="1:7" hidden="1" x14ac:dyDescent="0.25">
      <c r="A155" s="719" t="s">
        <v>110</v>
      </c>
      <c r="B155" s="719"/>
      <c r="C155" s="719"/>
      <c r="D155" s="719"/>
      <c r="E155" s="719"/>
      <c r="F155" s="719"/>
      <c r="G155" s="175"/>
    </row>
    <row r="156" spans="1:7" ht="25.5" hidden="1" x14ac:dyDescent="0.25">
      <c r="A156" s="207" t="s">
        <v>111</v>
      </c>
      <c r="B156" s="208" t="s">
        <v>112</v>
      </c>
      <c r="C156" s="305"/>
      <c r="D156" s="208" t="s">
        <v>116</v>
      </c>
      <c r="E156" s="208" t="s">
        <v>113</v>
      </c>
      <c r="F156" s="208" t="s">
        <v>114</v>
      </c>
      <c r="G156" s="295" t="s">
        <v>6</v>
      </c>
    </row>
    <row r="157" spans="1:7" hidden="1" x14ac:dyDescent="0.25">
      <c r="A157" s="207">
        <v>1</v>
      </c>
      <c r="B157" s="208">
        <v>2</v>
      </c>
      <c r="C157" s="305"/>
      <c r="D157" s="208">
        <v>3</v>
      </c>
      <c r="E157" s="208">
        <v>4</v>
      </c>
      <c r="F157" s="208">
        <v>5</v>
      </c>
      <c r="G157" s="324" t="s">
        <v>307</v>
      </c>
    </row>
    <row r="158" spans="1:7" hidden="1" x14ac:dyDescent="0.25">
      <c r="A158" s="208" t="s">
        <v>115</v>
      </c>
      <c r="B158" s="208">
        <v>1</v>
      </c>
      <c r="C158" s="208">
        <f>'инновации+добровольчество0,3643'!C102</f>
        <v>0</v>
      </c>
      <c r="D158" s="208">
        <f>'инновации+добровольчество0,3643'!D102</f>
        <v>12</v>
      </c>
      <c r="E158" s="208">
        <f>'инновации+добровольчество0,3643'!E102</f>
        <v>75</v>
      </c>
      <c r="F158" s="106">
        <v>0</v>
      </c>
      <c r="G158" s="156">
        <f>F158*D165</f>
        <v>0</v>
      </c>
    </row>
    <row r="159" spans="1:7" ht="18.75" hidden="1" x14ac:dyDescent="0.25">
      <c r="A159" s="118"/>
      <c r="B159" s="118"/>
      <c r="C159" s="118"/>
      <c r="D159" s="118"/>
      <c r="E159" s="282" t="s">
        <v>88</v>
      </c>
      <c r="F159" s="119"/>
      <c r="G159" s="258">
        <f>G158</f>
        <v>0</v>
      </c>
    </row>
    <row r="160" spans="1:7" hidden="1" x14ac:dyDescent="0.25">
      <c r="A160" s="89"/>
      <c r="B160" s="89"/>
      <c r="C160" s="89"/>
      <c r="D160" s="89"/>
      <c r="E160" s="89"/>
      <c r="F160" s="90"/>
    </row>
    <row r="161" spans="1:7" hidden="1" x14ac:dyDescent="0.25">
      <c r="A161" s="89"/>
      <c r="B161" s="89"/>
      <c r="C161" s="89"/>
      <c r="D161" s="89"/>
      <c r="E161" s="89"/>
      <c r="F161" s="90"/>
    </row>
    <row r="162" spans="1:7" x14ac:dyDescent="0.25">
      <c r="A162" s="89"/>
      <c r="B162" s="89"/>
      <c r="C162" s="89"/>
      <c r="D162" s="89"/>
      <c r="E162" s="89"/>
      <c r="F162" s="90"/>
    </row>
    <row r="163" spans="1:7" x14ac:dyDescent="0.25">
      <c r="A163" s="729" t="s">
        <v>235</v>
      </c>
      <c r="B163" s="729"/>
      <c r="C163" s="729"/>
      <c r="D163" s="729"/>
      <c r="E163" s="729"/>
      <c r="F163" s="729"/>
    </row>
    <row r="164" spans="1:7" x14ac:dyDescent="0.25">
      <c r="A164" s="316" t="s">
        <v>81</v>
      </c>
      <c r="B164" s="6" t="s">
        <v>317</v>
      </c>
    </row>
    <row r="165" spans="1:7" x14ac:dyDescent="0.25">
      <c r="D165" s="150">
        <f>F143</f>
        <v>0.36430000000000001</v>
      </c>
    </row>
    <row r="166" spans="1:7" ht="13.15" customHeight="1" x14ac:dyDescent="0.25">
      <c r="A166" s="703" t="s">
        <v>27</v>
      </c>
      <c r="B166" s="703"/>
      <c r="C166" s="307"/>
      <c r="D166" s="703" t="s">
        <v>11</v>
      </c>
      <c r="E166" s="307" t="s">
        <v>48</v>
      </c>
      <c r="F166" s="307" t="s">
        <v>15</v>
      </c>
      <c r="G166" s="717" t="s">
        <v>6</v>
      </c>
    </row>
    <row r="167" spans="1:7" x14ac:dyDescent="0.25">
      <c r="A167" s="703"/>
      <c r="B167" s="703"/>
      <c r="C167" s="307"/>
      <c r="D167" s="703"/>
      <c r="E167" s="307"/>
      <c r="F167" s="307"/>
      <c r="G167" s="718"/>
    </row>
    <row r="168" spans="1:7" x14ac:dyDescent="0.25">
      <c r="A168" s="704">
        <v>1</v>
      </c>
      <c r="B168" s="705"/>
      <c r="C168" s="308"/>
      <c r="D168" s="307">
        <v>2</v>
      </c>
      <c r="E168" s="307">
        <v>3</v>
      </c>
      <c r="F168" s="307">
        <v>4</v>
      </c>
      <c r="G168" s="74" t="s">
        <v>68</v>
      </c>
    </row>
    <row r="169" spans="1:7" x14ac:dyDescent="0.25">
      <c r="A169" s="706" t="str">
        <f>A46</f>
        <v>Суточные</v>
      </c>
      <c r="B169" s="707"/>
      <c r="C169" s="310"/>
      <c r="D169" s="307" t="str">
        <f>D46</f>
        <v>сутки</v>
      </c>
      <c r="E169" s="212">
        <f>23*D165*4</f>
        <v>33.515599999999999</v>
      </c>
      <c r="F169" s="320">
        <f>'таланты+инициативы0,2714'!F140</f>
        <v>450</v>
      </c>
      <c r="G169" s="77">
        <f>E169*F169+0.2</f>
        <v>15082.220000000001</v>
      </c>
    </row>
    <row r="170" spans="1:7" x14ac:dyDescent="0.25">
      <c r="A170" s="706" t="str">
        <f>A47</f>
        <v>Проезд</v>
      </c>
      <c r="B170" s="707"/>
      <c r="C170" s="310"/>
      <c r="D170" s="307" t="str">
        <f>D47</f>
        <v xml:space="preserve">Ед. </v>
      </c>
      <c r="E170" s="212">
        <f>23*D165</f>
        <v>8.3788999999999998</v>
      </c>
      <c r="F170" s="320">
        <f>'таланты+инициативы0,2714'!F141</f>
        <v>8200</v>
      </c>
      <c r="G170" s="77">
        <f>E170*F170</f>
        <v>68706.98</v>
      </c>
    </row>
    <row r="171" spans="1:7" x14ac:dyDescent="0.25">
      <c r="A171" s="706" t="str">
        <f>A48</f>
        <v xml:space="preserve">Проживание </v>
      </c>
      <c r="B171" s="707"/>
      <c r="C171" s="310"/>
      <c r="D171" s="307" t="str">
        <f>D48</f>
        <v>сутки</v>
      </c>
      <c r="E171" s="212">
        <f>23*3*D165</f>
        <v>25.136700000000001</v>
      </c>
      <c r="F171" s="320">
        <f>'таланты+инициативы0,2714'!F142</f>
        <v>2463.7600000000002</v>
      </c>
      <c r="G171" s="77">
        <f>E171*F171</f>
        <v>61930.795992000007</v>
      </c>
    </row>
    <row r="172" spans="1:7" ht="18.75" x14ac:dyDescent="0.25">
      <c r="A172" s="737" t="s">
        <v>119</v>
      </c>
      <c r="B172" s="738"/>
      <c r="C172" s="318"/>
      <c r="D172" s="75"/>
      <c r="E172" s="78"/>
      <c r="F172" s="78"/>
      <c r="G172" s="443">
        <f>SUM(G169:G171)</f>
        <v>145719.99599200001</v>
      </c>
    </row>
    <row r="173" spans="1:7" x14ac:dyDescent="0.25">
      <c r="A173" s="725" t="s">
        <v>36</v>
      </c>
      <c r="B173" s="725"/>
      <c r="C173" s="725"/>
      <c r="D173" s="725"/>
      <c r="E173" s="725"/>
      <c r="F173" s="725"/>
    </row>
    <row r="174" spans="1:7" x14ac:dyDescent="0.25">
      <c r="D174" s="157">
        <f>D165</f>
        <v>0.36430000000000001</v>
      </c>
    </row>
    <row r="175" spans="1:7" x14ac:dyDescent="0.25">
      <c r="A175" s="703" t="s">
        <v>24</v>
      </c>
      <c r="B175" s="703" t="s">
        <v>11</v>
      </c>
      <c r="C175" s="307"/>
      <c r="D175" s="703" t="s">
        <v>48</v>
      </c>
      <c r="E175" s="703" t="s">
        <v>15</v>
      </c>
      <c r="F175" s="726" t="s">
        <v>177</v>
      </c>
      <c r="G175" s="717" t="s">
        <v>6</v>
      </c>
    </row>
    <row r="176" spans="1:7" x14ac:dyDescent="0.25">
      <c r="A176" s="703"/>
      <c r="B176" s="703"/>
      <c r="C176" s="307"/>
      <c r="D176" s="703"/>
      <c r="E176" s="703"/>
      <c r="F176" s="727"/>
      <c r="G176" s="718"/>
    </row>
    <row r="177" spans="1:7" x14ac:dyDescent="0.25">
      <c r="A177" s="307">
        <v>1</v>
      </c>
      <c r="B177" s="307">
        <v>2</v>
      </c>
      <c r="C177" s="307"/>
      <c r="D177" s="307">
        <v>3</v>
      </c>
      <c r="E177" s="285">
        <v>4</v>
      </c>
      <c r="F177" s="285">
        <v>5</v>
      </c>
      <c r="G177" s="74" t="s">
        <v>69</v>
      </c>
    </row>
    <row r="178" spans="1:7" x14ac:dyDescent="0.25">
      <c r="A178" s="51" t="str">
        <f>'инновации+добровольчество0,3643'!A132</f>
        <v>переговоры по району, мин</v>
      </c>
      <c r="B178" s="94" t="s">
        <v>22</v>
      </c>
      <c r="C178" s="208"/>
      <c r="D178" s="352">
        <f>259.53*D174</f>
        <v>94.546778999999987</v>
      </c>
      <c r="E178" s="345">
        <f>'таланты+инициативы0,2714'!E149</f>
        <v>6.5</v>
      </c>
      <c r="F178" s="94">
        <f>'таланты+инициативы0,2714'!F149</f>
        <v>12</v>
      </c>
      <c r="G178" s="77">
        <f t="shared" ref="G178:G180" si="7">D178*E178*F178</f>
        <v>7374.6487619999989</v>
      </c>
    </row>
    <row r="179" spans="1:7" x14ac:dyDescent="0.25">
      <c r="A179" s="51" t="str">
        <f>'инновации+добровольчество0,3643'!A133</f>
        <v>Переговоры за пределами района,мин</v>
      </c>
      <c r="B179" s="94" t="s">
        <v>22</v>
      </c>
      <c r="C179" s="208"/>
      <c r="D179" s="349">
        <f>15*D174</f>
        <v>5.4645000000000001</v>
      </c>
      <c r="E179" s="345">
        <f>'таланты+инициативы0,2714'!E150</f>
        <v>15</v>
      </c>
      <c r="F179" s="94">
        <f>'таланты+инициативы0,2714'!F150</f>
        <v>12</v>
      </c>
      <c r="G179" s="77">
        <f t="shared" si="7"/>
        <v>983.61</v>
      </c>
    </row>
    <row r="180" spans="1:7" x14ac:dyDescent="0.25">
      <c r="A180" s="51" t="str">
        <f>'инновации+добровольчество0,3643'!A134</f>
        <v>Абоненская плата за услуги связи, номеров</v>
      </c>
      <c r="B180" s="94" t="s">
        <v>22</v>
      </c>
      <c r="C180" s="208"/>
      <c r="D180" s="350">
        <f>1*D174</f>
        <v>0.36430000000000001</v>
      </c>
      <c r="E180" s="345">
        <f>'таланты+инициативы0,2714'!E151</f>
        <v>2240</v>
      </c>
      <c r="F180" s="94">
        <f>'таланты+инициативы0,2714'!F151</f>
        <v>12</v>
      </c>
      <c r="G180" s="77">
        <f t="shared" si="7"/>
        <v>9792.384</v>
      </c>
    </row>
    <row r="181" spans="1:7" x14ac:dyDescent="0.25">
      <c r="A181" s="51" t="str">
        <f>'инновации+добровольчество0,3643'!A135</f>
        <v xml:space="preserve">Абоненская плата за услуги Интернет </v>
      </c>
      <c r="B181" s="94" t="s">
        <v>22</v>
      </c>
      <c r="C181" s="208"/>
      <c r="D181" s="350">
        <f>1*D174</f>
        <v>0.36430000000000001</v>
      </c>
      <c r="E181" s="345">
        <f>'таланты+инициативы0,2714'!E152</f>
        <v>16000</v>
      </c>
      <c r="F181" s="94">
        <f>'таланты+инициативы0,2714'!F152</f>
        <v>12</v>
      </c>
      <c r="G181" s="77">
        <f>D181*E181*F181-8.5</f>
        <v>69937.100000000006</v>
      </c>
    </row>
    <row r="182" spans="1:7" ht="18.75" x14ac:dyDescent="0.3">
      <c r="A182" s="736" t="s">
        <v>26</v>
      </c>
      <c r="B182" s="736"/>
      <c r="C182" s="736"/>
      <c r="D182" s="736"/>
      <c r="E182" s="736"/>
      <c r="F182" s="736"/>
      <c r="G182" s="466">
        <f>SUM(G178:G181)</f>
        <v>88087.742762000009</v>
      </c>
    </row>
    <row r="183" spans="1:7" x14ac:dyDescent="0.25">
      <c r="A183" s="725" t="s">
        <v>55</v>
      </c>
      <c r="B183" s="725"/>
      <c r="C183" s="725"/>
      <c r="D183" s="725"/>
      <c r="E183" s="725"/>
      <c r="F183" s="725"/>
    </row>
    <row r="184" spans="1:7" x14ac:dyDescent="0.25">
      <c r="D184" s="157">
        <f>D174</f>
        <v>0.36430000000000001</v>
      </c>
    </row>
    <row r="185" spans="1:7" x14ac:dyDescent="0.25">
      <c r="A185" s="703" t="s">
        <v>194</v>
      </c>
      <c r="B185" s="703" t="s">
        <v>11</v>
      </c>
      <c r="C185" s="307"/>
      <c r="D185" s="703" t="s">
        <v>48</v>
      </c>
      <c r="E185" s="703" t="s">
        <v>15</v>
      </c>
      <c r="F185" s="726" t="s">
        <v>25</v>
      </c>
      <c r="G185" s="717" t="s">
        <v>6</v>
      </c>
    </row>
    <row r="186" spans="1:7" x14ac:dyDescent="0.25">
      <c r="A186" s="703"/>
      <c r="B186" s="703"/>
      <c r="C186" s="307"/>
      <c r="D186" s="703"/>
      <c r="E186" s="703"/>
      <c r="F186" s="727"/>
      <c r="G186" s="718"/>
    </row>
    <row r="187" spans="1:7" x14ac:dyDescent="0.25">
      <c r="A187" s="307">
        <v>1</v>
      </c>
      <c r="B187" s="307">
        <v>2</v>
      </c>
      <c r="C187" s="307"/>
      <c r="D187" s="307">
        <v>3</v>
      </c>
      <c r="E187" s="307">
        <v>4</v>
      </c>
      <c r="F187" s="307">
        <v>5</v>
      </c>
      <c r="G187" s="77" t="s">
        <v>70</v>
      </c>
    </row>
    <row r="188" spans="1:7" hidden="1" x14ac:dyDescent="0.25">
      <c r="A188" s="117" t="s">
        <v>208</v>
      </c>
      <c r="B188" s="94" t="s">
        <v>122</v>
      </c>
      <c r="C188" s="307"/>
      <c r="D188" s="307">
        <v>0</v>
      </c>
      <c r="E188" s="307">
        <f>'инновации+добровольчество0,3643'!E143</f>
        <v>0</v>
      </c>
      <c r="F188" s="307">
        <v>1</v>
      </c>
      <c r="G188" s="77">
        <f>D188*E188*F188</f>
        <v>0</v>
      </c>
    </row>
    <row r="189" spans="1:7" x14ac:dyDescent="0.25">
      <c r="A189" s="69" t="s">
        <v>178</v>
      </c>
      <c r="B189" s="307" t="s">
        <v>22</v>
      </c>
      <c r="C189" s="307"/>
      <c r="D189" s="307">
        <f>1*D184</f>
        <v>0.36430000000000001</v>
      </c>
      <c r="E189" s="320">
        <f>'таланты+инициативы0,2714'!E161</f>
        <v>58000</v>
      </c>
      <c r="F189" s="307">
        <v>1</v>
      </c>
      <c r="G189" s="77">
        <f>D189*E189*F189</f>
        <v>21129.4</v>
      </c>
    </row>
    <row r="190" spans="1:7" ht="18.75" x14ac:dyDescent="0.25">
      <c r="A190" s="736" t="s">
        <v>56</v>
      </c>
      <c r="B190" s="736"/>
      <c r="C190" s="736"/>
      <c r="D190" s="736"/>
      <c r="E190" s="736"/>
      <c r="F190" s="736"/>
      <c r="G190" s="467">
        <f>SUM(G188:G189)</f>
        <v>21129.4</v>
      </c>
    </row>
    <row r="191" spans="1:7" ht="18.75" x14ac:dyDescent="0.3">
      <c r="A191" s="725" t="s">
        <v>19</v>
      </c>
      <c r="B191" s="725"/>
      <c r="C191" s="725"/>
      <c r="D191" s="725"/>
      <c r="E191" s="725"/>
      <c r="F191" s="725"/>
      <c r="G191" s="176"/>
    </row>
    <row r="192" spans="1:7" x14ac:dyDescent="0.25">
      <c r="D192" s="157">
        <f>D184</f>
        <v>0.36430000000000001</v>
      </c>
    </row>
    <row r="193" spans="1:6" ht="15.75" customHeight="1" x14ac:dyDescent="0.25">
      <c r="A193" s="703" t="s">
        <v>21</v>
      </c>
      <c r="B193" s="703" t="s">
        <v>11</v>
      </c>
      <c r="C193" s="307"/>
      <c r="D193" s="703" t="s">
        <v>14</v>
      </c>
      <c r="E193" s="703" t="s">
        <v>15</v>
      </c>
      <c r="F193" s="726" t="s">
        <v>6</v>
      </c>
    </row>
    <row r="194" spans="1:6" x14ac:dyDescent="0.25">
      <c r="A194" s="703"/>
      <c r="B194" s="703"/>
      <c r="C194" s="307"/>
      <c r="D194" s="703"/>
      <c r="E194" s="703"/>
      <c r="F194" s="727"/>
    </row>
    <row r="195" spans="1:6" ht="16.5" thickBot="1" x14ac:dyDescent="0.3">
      <c r="A195" s="307">
        <v>1</v>
      </c>
      <c r="B195" s="307">
        <v>2</v>
      </c>
      <c r="C195" s="307"/>
      <c r="D195" s="285">
        <v>3</v>
      </c>
      <c r="E195" s="307">
        <v>7</v>
      </c>
      <c r="F195" s="307" t="s">
        <v>175</v>
      </c>
    </row>
    <row r="196" spans="1:6" ht="16.5" thickBot="1" x14ac:dyDescent="0.3">
      <c r="A196" s="72" t="str">
        <f>'таланты+инициативы0,2714'!A168</f>
        <v xml:space="preserve">Мониторинг систем пожарной сигнализации  </v>
      </c>
      <c r="B196" s="94" t="s">
        <v>22</v>
      </c>
      <c r="C196" s="307"/>
      <c r="D196" s="149">
        <f>12*D192</f>
        <v>4.3715999999999999</v>
      </c>
      <c r="E196" s="409">
        <f>'таланты+инициативы0,2714'!E168</f>
        <v>3000</v>
      </c>
      <c r="F196" s="320">
        <f t="shared" ref="F196:F213" si="8">D196*E196</f>
        <v>13114.8</v>
      </c>
    </row>
    <row r="197" spans="1:6" ht="16.5" thickBot="1" x14ac:dyDescent="0.3">
      <c r="A197" s="72" t="str">
        <f>'таланты+инициативы0,2714'!A169</f>
        <v xml:space="preserve">Уборка территории от снега </v>
      </c>
      <c r="B197" s="94" t="s">
        <v>22</v>
      </c>
      <c r="C197" s="307"/>
      <c r="D197" s="149">
        <f>2*D192</f>
        <v>0.72860000000000003</v>
      </c>
      <c r="E197" s="409">
        <f>'таланты+инициативы0,2714'!E169</f>
        <v>29988.28</v>
      </c>
      <c r="F197" s="320">
        <f t="shared" si="8"/>
        <v>21849.460808</v>
      </c>
    </row>
    <row r="198" spans="1:6" ht="16.5" thickBot="1" x14ac:dyDescent="0.3">
      <c r="A198" s="72" t="str">
        <f>'таланты+инициативы0,2714'!A170</f>
        <v>Профилактическая дезинфекция</v>
      </c>
      <c r="B198" s="94" t="s">
        <v>22</v>
      </c>
      <c r="C198" s="307"/>
      <c r="D198" s="149">
        <f>D192</f>
        <v>0.36430000000000001</v>
      </c>
      <c r="E198" s="409">
        <f>'таланты+инициативы0,2714'!E170</f>
        <v>6712.44</v>
      </c>
      <c r="F198" s="320">
        <f t="shared" si="8"/>
        <v>2445.3418919999999</v>
      </c>
    </row>
    <row r="199" spans="1:6" ht="32.25" thickBot="1" x14ac:dyDescent="0.3">
      <c r="A199" s="72" t="str">
        <f>'таланты+инициативы0,2714'!A171</f>
        <v>Комплексное обслуживание системы тепловодоснабжения и конструктивных элементов здания</v>
      </c>
      <c r="B199" s="94" t="s">
        <v>22</v>
      </c>
      <c r="C199" s="307"/>
      <c r="D199" s="149">
        <f>D192</f>
        <v>0.36430000000000001</v>
      </c>
      <c r="E199" s="409">
        <f>'таланты+инициативы0,2714'!E171</f>
        <v>40000</v>
      </c>
      <c r="F199" s="320">
        <f t="shared" si="8"/>
        <v>14572</v>
      </c>
    </row>
    <row r="200" spans="1:6" ht="16.5" thickBot="1" x14ac:dyDescent="0.3">
      <c r="A200" s="72" t="str">
        <f>'таланты+инициативы0,2714'!A172</f>
        <v>Договор осмотр технического состояния автомобиля</v>
      </c>
      <c r="B200" s="94" t="s">
        <v>22</v>
      </c>
      <c r="C200" s="307"/>
      <c r="D200" s="149">
        <f>210*D192</f>
        <v>76.503</v>
      </c>
      <c r="E200" s="409">
        <f>'таланты+инициативы0,2714'!E172</f>
        <v>249.1</v>
      </c>
      <c r="F200" s="320">
        <f t="shared" si="8"/>
        <v>19056.897300000001</v>
      </c>
    </row>
    <row r="201" spans="1:6" ht="16.5" thickBot="1" x14ac:dyDescent="0.3">
      <c r="A201" s="72" t="str">
        <f>'таланты+инициативы0,2714'!A173</f>
        <v>Техническое обслуживание систем пожарной сигнализации</v>
      </c>
      <c r="B201" s="94" t="s">
        <v>22</v>
      </c>
      <c r="C201" s="307"/>
      <c r="D201" s="353">
        <f>12*D192</f>
        <v>4.3715999999999999</v>
      </c>
      <c r="E201" s="409">
        <f>'таланты+инициативы0,2714'!E173</f>
        <v>1000</v>
      </c>
      <c r="F201" s="320">
        <f t="shared" si="8"/>
        <v>4371.6000000000004</v>
      </c>
    </row>
    <row r="202" spans="1:6" ht="16.5" thickBot="1" x14ac:dyDescent="0.3">
      <c r="A202" s="72" t="str">
        <f>'таланты+инициативы0,2714'!A174</f>
        <v>ремонт оборудования</v>
      </c>
      <c r="B202" s="94" t="s">
        <v>22</v>
      </c>
      <c r="C202" s="307"/>
      <c r="D202" s="353">
        <v>0</v>
      </c>
      <c r="E202" s="409">
        <f>'таланты+инициативы0,2714'!E174</f>
        <v>20000</v>
      </c>
      <c r="F202" s="320">
        <f t="shared" si="8"/>
        <v>0</v>
      </c>
    </row>
    <row r="203" spans="1:6" ht="16.5" thickBot="1" x14ac:dyDescent="0.3">
      <c r="A203" s="72" t="str">
        <f>'таланты+инициативы0,2714'!A175</f>
        <v>Возмещение мед осмотра (112/212)</v>
      </c>
      <c r="B203" s="94" t="s">
        <v>22</v>
      </c>
      <c r="C203" s="307"/>
      <c r="D203" s="353">
        <f>D192*3</f>
        <v>1.0929</v>
      </c>
      <c r="E203" s="409">
        <f>'таланты+инициативы0,2714'!E175</f>
        <v>1114</v>
      </c>
      <c r="F203" s="320">
        <f t="shared" si="8"/>
        <v>1217.4906000000001</v>
      </c>
    </row>
    <row r="204" spans="1:6" ht="16.5" thickBot="1" x14ac:dyDescent="0.3">
      <c r="A204" s="72" t="str">
        <f>'таланты+инициативы0,2714'!A176</f>
        <v>Услуги СЕМИС подписка</v>
      </c>
      <c r="B204" s="94" t="s">
        <v>22</v>
      </c>
      <c r="C204" s="307"/>
      <c r="D204" s="355">
        <f>D192</f>
        <v>0.36430000000000001</v>
      </c>
      <c r="E204" s="409">
        <f>'таланты+инициативы0,2714'!E176</f>
        <v>1670</v>
      </c>
      <c r="F204" s="320">
        <f t="shared" si="8"/>
        <v>608.38099999999997</v>
      </c>
    </row>
    <row r="205" spans="1:6" ht="16.5" thickBot="1" x14ac:dyDescent="0.3">
      <c r="A205" s="72" t="str">
        <f>'таланты+инициативы0,2714'!A177</f>
        <v>Предрейсовое медицинское обследование 200дней*85руб</v>
      </c>
      <c r="B205" s="94" t="s">
        <v>22</v>
      </c>
      <c r="C205" s="307"/>
      <c r="D205" s="66">
        <f>D192*247</f>
        <v>89.982100000000003</v>
      </c>
      <c r="E205" s="409">
        <v>0</v>
      </c>
      <c r="F205" s="320">
        <f t="shared" si="8"/>
        <v>0</v>
      </c>
    </row>
    <row r="206" spans="1:6" ht="16.5" thickBot="1" x14ac:dyDescent="0.3">
      <c r="A206" s="72" t="str">
        <f>'таланты+инициативы0,2714'!A178</f>
        <v xml:space="preserve">Услуги охраны  </v>
      </c>
      <c r="B206" s="94" t="s">
        <v>22</v>
      </c>
      <c r="C206" s="307"/>
      <c r="D206" s="66">
        <f>D192*12</f>
        <v>4.3715999999999999</v>
      </c>
      <c r="E206" s="409">
        <f>'таланты+инициативы0,2714'!E178</f>
        <v>8000</v>
      </c>
      <c r="F206" s="320">
        <f t="shared" si="8"/>
        <v>34972.800000000003</v>
      </c>
    </row>
    <row r="207" spans="1:6" ht="16.5" thickBot="1" x14ac:dyDescent="0.3">
      <c r="A207" s="72" t="str">
        <f>'таланты+инициативы0,2714'!A179</f>
        <v>Услуги мониторинга пожарной сигнализации</v>
      </c>
      <c r="B207" s="94" t="s">
        <v>22</v>
      </c>
      <c r="C207" s="307"/>
      <c r="D207" s="66">
        <f>12*D192</f>
        <v>4.3715999999999999</v>
      </c>
      <c r="E207" s="409">
        <f>'таланты+инициативы0,2714'!E179</f>
        <v>2000</v>
      </c>
      <c r="F207" s="320">
        <f t="shared" si="8"/>
        <v>8743.2000000000007</v>
      </c>
    </row>
    <row r="208" spans="1:6" ht="16.5" thickBot="1" x14ac:dyDescent="0.3">
      <c r="A208" s="72" t="str">
        <f>'таланты+инициативы0,2714'!A180</f>
        <v>Обслуживание систем охранных средств сигнализации (тревожная кнопка)</v>
      </c>
      <c r="B208" s="94" t="s">
        <v>22</v>
      </c>
      <c r="C208" s="307"/>
      <c r="D208" s="66">
        <f>12*D192</f>
        <v>4.3715999999999999</v>
      </c>
      <c r="E208" s="409">
        <f>'таланты+инициативы0,2714'!E180</f>
        <v>5000</v>
      </c>
      <c r="F208" s="320">
        <f t="shared" si="8"/>
        <v>21858</v>
      </c>
    </row>
    <row r="209" spans="1:6" ht="16.5" thickBot="1" x14ac:dyDescent="0.3">
      <c r="A209" s="72" t="str">
        <f>'таланты+инициативы0,2714'!A181</f>
        <v>Договор на медосмотр при устройстве на работу</v>
      </c>
      <c r="B209" s="94" t="s">
        <v>22</v>
      </c>
      <c r="C209" s="307"/>
      <c r="D209" s="66">
        <f>4*D192</f>
        <v>1.4572000000000001</v>
      </c>
      <c r="E209" s="409">
        <v>0</v>
      </c>
      <c r="F209" s="320">
        <f t="shared" si="8"/>
        <v>0</v>
      </c>
    </row>
    <row r="210" spans="1:6" ht="16.5" thickBot="1" x14ac:dyDescent="0.3">
      <c r="A210" s="72" t="str">
        <f>'таланты+инициативы0,2714'!A182</f>
        <v>Страховая премия по полису ОСАГО за УАЗ</v>
      </c>
      <c r="B210" s="94" t="s">
        <v>22</v>
      </c>
      <c r="C210" s="307"/>
      <c r="D210" s="66">
        <f>1*D192</f>
        <v>0.36430000000000001</v>
      </c>
      <c r="E210" s="409">
        <v>0</v>
      </c>
      <c r="F210" s="320">
        <f t="shared" si="8"/>
        <v>0</v>
      </c>
    </row>
    <row r="211" spans="1:6" ht="16.5" thickBot="1" x14ac:dyDescent="0.3">
      <c r="A211" s="72" t="str">
        <f>'таланты+инициативы0,2714'!A183</f>
        <v>Приобретение программного обеспечения</v>
      </c>
      <c r="B211" s="94" t="s">
        <v>22</v>
      </c>
      <c r="C211" s="307"/>
      <c r="D211" s="66">
        <f>D192</f>
        <v>0.36430000000000001</v>
      </c>
      <c r="E211" s="409">
        <f>'таланты+инициативы0,2714'!E183</f>
        <v>8088</v>
      </c>
      <c r="F211" s="320">
        <f t="shared" si="8"/>
        <v>2946.4584</v>
      </c>
    </row>
    <row r="212" spans="1:6" ht="16.5" thickBot="1" x14ac:dyDescent="0.3">
      <c r="A212" s="72" t="str">
        <f>'таланты+инициативы0,2714'!A184</f>
        <v>Оплата пени, штрафов (853/291)</v>
      </c>
      <c r="B212" s="94" t="s">
        <v>22</v>
      </c>
      <c r="C212" s="307"/>
      <c r="D212" s="355">
        <f>D192*5</f>
        <v>1.8215000000000001</v>
      </c>
      <c r="E212" s="409">
        <f>'таланты+инициативы0,2714'!E184</f>
        <v>0</v>
      </c>
      <c r="F212" s="320">
        <f t="shared" si="8"/>
        <v>0</v>
      </c>
    </row>
    <row r="213" spans="1:6" x14ac:dyDescent="0.25">
      <c r="A213" s="72" t="str">
        <f>'таланты+инициативы0,2714'!A185</f>
        <v>ИТОГО СОДЕРЖАНИЕ ОБЪЕКТОВ НЕДВИЖ. ИМУЩЕСТВА</v>
      </c>
      <c r="B213" s="94" t="s">
        <v>22</v>
      </c>
      <c r="C213" s="307"/>
      <c r="D213" s="355">
        <f>D192</f>
        <v>0.36430000000000001</v>
      </c>
      <c r="E213" s="409">
        <f>'таланты+инициативы0,2714'!E185</f>
        <v>0</v>
      </c>
      <c r="F213" s="320">
        <f t="shared" si="8"/>
        <v>0</v>
      </c>
    </row>
    <row r="214" spans="1:6" ht="18.75" x14ac:dyDescent="0.25">
      <c r="A214" s="708" t="s">
        <v>23</v>
      </c>
      <c r="B214" s="709"/>
      <c r="C214" s="709"/>
      <c r="D214" s="709"/>
      <c r="E214" s="710"/>
      <c r="F214" s="468">
        <f>SUM(F196:F213)</f>
        <v>145756.43</v>
      </c>
    </row>
    <row r="215" spans="1:6" x14ac:dyDescent="0.25">
      <c r="A215" s="742" t="s">
        <v>29</v>
      </c>
      <c r="B215" s="743"/>
      <c r="C215" s="743"/>
      <c r="D215" s="743"/>
      <c r="E215" s="743"/>
      <c r="F215" s="744"/>
    </row>
    <row r="216" spans="1:6" x14ac:dyDescent="0.25">
      <c r="A216" s="745">
        <f>D192</f>
        <v>0.36430000000000001</v>
      </c>
      <c r="B216" s="746"/>
      <c r="C216" s="746"/>
      <c r="D216" s="746"/>
      <c r="E216" s="746"/>
      <c r="F216" s="747"/>
    </row>
    <row r="217" spans="1:6" ht="15.75" customHeight="1" x14ac:dyDescent="0.25">
      <c r="A217" s="546" t="s">
        <v>30</v>
      </c>
      <c r="B217" s="546" t="s">
        <v>11</v>
      </c>
      <c r="C217" s="94"/>
      <c r="D217" s="546" t="s">
        <v>14</v>
      </c>
      <c r="E217" s="546" t="s">
        <v>15</v>
      </c>
      <c r="F217" s="600" t="s">
        <v>6</v>
      </c>
    </row>
    <row r="218" spans="1:6" x14ac:dyDescent="0.25">
      <c r="A218" s="546"/>
      <c r="B218" s="546"/>
      <c r="C218" s="94"/>
      <c r="D218" s="546"/>
      <c r="E218" s="546"/>
      <c r="F218" s="601"/>
    </row>
    <row r="219" spans="1:6" x14ac:dyDescent="0.25">
      <c r="A219" s="94">
        <v>1</v>
      </c>
      <c r="B219" s="94">
        <v>2</v>
      </c>
      <c r="C219" s="94"/>
      <c r="D219" s="94">
        <v>3</v>
      </c>
      <c r="E219" s="94">
        <v>7</v>
      </c>
      <c r="F219" s="94" t="s">
        <v>175</v>
      </c>
    </row>
    <row r="220" spans="1:6" x14ac:dyDescent="0.25">
      <c r="A220" s="201" t="str">
        <f>'таланты+инициативы0,2714'!A191</f>
        <v>Обучение персонала</v>
      </c>
      <c r="B220" s="287" t="s">
        <v>192</v>
      </c>
      <c r="C220" s="94"/>
      <c r="D220" s="210">
        <f>1*A216</f>
        <v>0.36430000000000001</v>
      </c>
      <c r="E220" s="94">
        <f>'таланты+инициативы0,2714'!E191</f>
        <v>8000</v>
      </c>
      <c r="F220" s="232">
        <f t="shared" ref="F220" si="9">D220*E220</f>
        <v>2914.4</v>
      </c>
    </row>
    <row r="221" spans="1:6" x14ac:dyDescent="0.25">
      <c r="A221" s="201" t="str">
        <f>'таланты+инициативы0,2714'!A192</f>
        <v>Блок фотобарабана</v>
      </c>
      <c r="B221" s="287" t="str">
        <f>'инновации+добровольчество0,3643'!B210</f>
        <v>шт</v>
      </c>
      <c r="C221" s="94"/>
      <c r="D221" s="483">
        <f>2*A216</f>
        <v>0.72860000000000003</v>
      </c>
      <c r="E221" s="94">
        <f>'таланты+инициативы0,2714'!E192</f>
        <v>5600</v>
      </c>
      <c r="F221" s="232">
        <f>D221*E221</f>
        <v>4080.1600000000003</v>
      </c>
    </row>
    <row r="222" spans="1:6" x14ac:dyDescent="0.25">
      <c r="A222" s="201" t="str">
        <f>'таланты+инициативы0,2714'!A193</f>
        <v>Чкрнила для принтера</v>
      </c>
      <c r="B222" s="287" t="str">
        <f>'инновации+добровольчество0,3643'!B211</f>
        <v>шт</v>
      </c>
      <c r="C222" s="94"/>
      <c r="D222" s="483">
        <f>8*A216</f>
        <v>2.9144000000000001</v>
      </c>
      <c r="E222" s="94">
        <f>'таланты+инициативы0,2714'!E193</f>
        <v>4400</v>
      </c>
      <c r="F222" s="232">
        <f>D222*E222</f>
        <v>12823.36</v>
      </c>
    </row>
    <row r="223" spans="1:6" ht="24.75" customHeight="1" x14ac:dyDescent="0.25">
      <c r="A223" s="201" t="str">
        <f>'таланты+инициативы0,2714'!A194</f>
        <v>картридж</v>
      </c>
      <c r="B223" s="287" t="str">
        <f>'инновации+добровольчество0,3643'!B212</f>
        <v>шт</v>
      </c>
      <c r="C223" s="94"/>
      <c r="D223" s="483">
        <f>4*A216</f>
        <v>1.4572000000000001</v>
      </c>
      <c r="E223" s="94">
        <f>'таланты+инициативы0,2714'!E194</f>
        <v>3200</v>
      </c>
      <c r="F223" s="232">
        <f t="shared" ref="F223:F244" si="10">D223*E223</f>
        <v>4663.04</v>
      </c>
    </row>
    <row r="224" spans="1:6" ht="24.75" customHeight="1" x14ac:dyDescent="0.25">
      <c r="A224" s="201" t="str">
        <f>'таланты+инициативы0,2714'!A195</f>
        <v>Комплектующие для настольных игр</v>
      </c>
      <c r="B224" s="287" t="str">
        <f>'инновации+добровольчество0,3643'!B213</f>
        <v>шт</v>
      </c>
      <c r="C224" s="94"/>
      <c r="D224" s="483">
        <f>33*A216</f>
        <v>12.0219</v>
      </c>
      <c r="E224" s="94">
        <f>'таланты+инициативы0,2714'!E195</f>
        <v>941.97</v>
      </c>
      <c r="F224" s="232">
        <f t="shared" ref="F224" si="11">D224*E224</f>
        <v>11324.269143000001</v>
      </c>
    </row>
    <row r="225" spans="1:6" x14ac:dyDescent="0.25">
      <c r="A225" s="201" t="str">
        <f>'таланты+инициативы0,2714'!A196</f>
        <v>Настольные игры</v>
      </c>
      <c r="B225" s="287" t="str">
        <f>'инновации+добровольчество0,3643'!B214</f>
        <v>шт</v>
      </c>
      <c r="C225" s="94"/>
      <c r="D225" s="483">
        <f>10*A216</f>
        <v>3.6430000000000002</v>
      </c>
      <c r="E225" s="94">
        <f>'таланты+инициативы0,2714'!E196</f>
        <v>1357</v>
      </c>
      <c r="F225" s="232">
        <f t="shared" si="10"/>
        <v>4943.5510000000004</v>
      </c>
    </row>
    <row r="226" spans="1:6" x14ac:dyDescent="0.25">
      <c r="A226" s="201" t="str">
        <f>'таланты+инициативы0,2714'!A197</f>
        <v xml:space="preserve">Батарейка </v>
      </c>
      <c r="B226" s="287" t="str">
        <f>'инновации+добровольчество0,3643'!B215</f>
        <v>шт</v>
      </c>
      <c r="C226" s="94"/>
      <c r="D226" s="483">
        <f>9*A216</f>
        <v>3.2787000000000002</v>
      </c>
      <c r="E226" s="94">
        <f>'таланты+инициативы0,2714'!E197</f>
        <v>408.98</v>
      </c>
      <c r="F226" s="232">
        <f t="shared" si="10"/>
        <v>1340.9227260000002</v>
      </c>
    </row>
    <row r="227" spans="1:6" x14ac:dyDescent="0.25">
      <c r="A227" s="201" t="str">
        <f>'таланты+инициативы0,2714'!A198</f>
        <v>блок для записей</v>
      </c>
      <c r="B227" s="287" t="str">
        <f>'инновации+добровольчество0,3643'!B216</f>
        <v>шт</v>
      </c>
      <c r="C227" s="94"/>
      <c r="D227" s="483">
        <f>3*A216</f>
        <v>1.0929</v>
      </c>
      <c r="E227" s="94">
        <f>'таланты+инициативы0,2714'!E198</f>
        <v>153.13</v>
      </c>
      <c r="F227" s="232">
        <f t="shared" si="10"/>
        <v>167.35577699999999</v>
      </c>
    </row>
    <row r="228" spans="1:6" x14ac:dyDescent="0.25">
      <c r="A228" s="201" t="str">
        <f>'таланты+инициативы0,2714'!A199</f>
        <v>бумага туал</v>
      </c>
      <c r="B228" s="287" t="str">
        <f>'инновации+добровольчество0,3643'!B217</f>
        <v>шт</v>
      </c>
      <c r="C228" s="94"/>
      <c r="D228" s="483">
        <f>96*A216</f>
        <v>34.972799999999999</v>
      </c>
      <c r="E228" s="94">
        <f>'таланты+инициативы0,2714'!E199</f>
        <v>26.54</v>
      </c>
      <c r="F228" s="232">
        <f t="shared" si="10"/>
        <v>928.17811199999994</v>
      </c>
    </row>
    <row r="229" spans="1:6" x14ac:dyDescent="0.25">
      <c r="A229" s="201" t="str">
        <f>'таланты+инициативы0,2714'!A200</f>
        <v>губка-ластик</v>
      </c>
      <c r="B229" s="287" t="str">
        <f>'инновации+добровольчество0,3643'!B218</f>
        <v>шт</v>
      </c>
      <c r="C229" s="94"/>
      <c r="D229" s="483">
        <f>2*A216</f>
        <v>0.72860000000000003</v>
      </c>
      <c r="E229" s="94">
        <f>'таланты+инициативы0,2714'!E200</f>
        <v>80.36</v>
      </c>
      <c r="F229" s="232">
        <f t="shared" si="10"/>
        <v>58.550296000000003</v>
      </c>
    </row>
    <row r="230" spans="1:6" x14ac:dyDescent="0.25">
      <c r="A230" s="201" t="str">
        <f>'таланты+инициативы0,2714'!A201</f>
        <v>доска-планшет</v>
      </c>
      <c r="B230" s="287" t="str">
        <f>'инновации+добровольчество0,3643'!B219</f>
        <v>шт</v>
      </c>
      <c r="C230" s="94"/>
      <c r="D230" s="483">
        <f>20*A216</f>
        <v>7.2860000000000005</v>
      </c>
      <c r="E230" s="94">
        <f>'таланты+инициативы0,2714'!E201</f>
        <v>121.75</v>
      </c>
      <c r="F230" s="232">
        <f t="shared" si="10"/>
        <v>887.07050000000004</v>
      </c>
    </row>
    <row r="231" spans="1:6" x14ac:dyDescent="0.25">
      <c r="A231" s="201" t="str">
        <f>'таланты+инициативы0,2714'!A202</f>
        <v>закладки</v>
      </c>
      <c r="B231" s="287" t="str">
        <f>'инновации+добровольчество0,3643'!B220</f>
        <v>шт</v>
      </c>
      <c r="C231" s="94"/>
      <c r="D231" s="483">
        <f>2*A216</f>
        <v>0.72860000000000003</v>
      </c>
      <c r="E231" s="94">
        <f>'таланты+инициативы0,2714'!E202</f>
        <v>109.39</v>
      </c>
      <c r="F231" s="232">
        <f t="shared" si="10"/>
        <v>79.701554000000002</v>
      </c>
    </row>
    <row r="232" spans="1:6" x14ac:dyDescent="0.25">
      <c r="A232" s="201" t="str">
        <f>'таланты+инициативы0,2714'!A203</f>
        <v>карандаш</v>
      </c>
      <c r="B232" s="287" t="str">
        <f>'инновации+добровольчество0,3643'!B221</f>
        <v>шт</v>
      </c>
      <c r="C232" s="94"/>
      <c r="D232" s="483">
        <f>100*A216</f>
        <v>36.43</v>
      </c>
      <c r="E232" s="94">
        <f>'таланты+инициативы0,2714'!E203</f>
        <v>11.44</v>
      </c>
      <c r="F232" s="232">
        <f t="shared" si="10"/>
        <v>416.75919999999996</v>
      </c>
    </row>
    <row r="233" spans="1:6" x14ac:dyDescent="0.25">
      <c r="A233" s="201" t="str">
        <f>'таланты+инициативы0,2714'!A204</f>
        <v>клей</v>
      </c>
      <c r="B233" s="287" t="str">
        <f>'инновации+добровольчество0,3643'!B222</f>
        <v>шт</v>
      </c>
      <c r="C233" s="94"/>
      <c r="D233" s="483">
        <f>56*A216</f>
        <v>20.4008</v>
      </c>
      <c r="E233" s="94">
        <f>'таланты+инициативы0,2714'!E204</f>
        <v>92.63</v>
      </c>
      <c r="F233" s="232">
        <f t="shared" ref="F233:F234" si="12">D233*E233</f>
        <v>1889.7261039999999</v>
      </c>
    </row>
    <row r="234" spans="1:6" x14ac:dyDescent="0.25">
      <c r="A234" s="201" t="str">
        <f>'таланты+инициативы0,2714'!A205</f>
        <v>книга отзывов</v>
      </c>
      <c r="B234" s="287" t="str">
        <f>'инновации+добровольчество0,3643'!B223</f>
        <v>шт</v>
      </c>
      <c r="C234" s="94"/>
      <c r="D234" s="483">
        <f>2*A216</f>
        <v>0.72860000000000003</v>
      </c>
      <c r="E234" s="94">
        <f>'таланты+инициативы0,2714'!E205</f>
        <v>113.92</v>
      </c>
      <c r="F234" s="232">
        <f t="shared" si="12"/>
        <v>83.002112000000011</v>
      </c>
    </row>
    <row r="235" spans="1:6" x14ac:dyDescent="0.25">
      <c r="A235" s="201" t="str">
        <f>'таланты+инициативы0,2714'!A206</f>
        <v>лампа светодиод</v>
      </c>
      <c r="B235" s="287" t="str">
        <f>'инновации+добровольчество0,3643'!B224</f>
        <v>шт</v>
      </c>
      <c r="C235" s="94"/>
      <c r="D235" s="483">
        <f>10*A216</f>
        <v>3.6430000000000002</v>
      </c>
      <c r="E235" s="94">
        <f>'таланты+инициативы0,2714'!E206</f>
        <v>75.11</v>
      </c>
      <c r="F235" s="232">
        <f t="shared" si="10"/>
        <v>273.62573000000003</v>
      </c>
    </row>
    <row r="236" spans="1:6" x14ac:dyDescent="0.25">
      <c r="A236" s="201" t="str">
        <f>'таланты+инициативы0,2714'!A207</f>
        <v>кнопки</v>
      </c>
      <c r="B236" s="287" t="str">
        <f>'инновации+добровольчество0,3643'!B225</f>
        <v>шт</v>
      </c>
      <c r="C236" s="94"/>
      <c r="D236" s="483">
        <f>10*A216</f>
        <v>3.6430000000000002</v>
      </c>
      <c r="E236" s="94">
        <f>'таланты+инициативы0,2714'!E207</f>
        <v>55.881999999999998</v>
      </c>
      <c r="F236" s="232">
        <f>D236*E236</f>
        <v>203.578126</v>
      </c>
    </row>
    <row r="237" spans="1:6" x14ac:dyDescent="0.25">
      <c r="A237" s="201" t="str">
        <f>'таланты+инициативы0,2714'!A208</f>
        <v>магниты, маркеры</v>
      </c>
      <c r="B237" s="287" t="str">
        <f>'инновации+добровольчество0,3643'!B226</f>
        <v>шт</v>
      </c>
      <c r="C237" s="94"/>
      <c r="D237" s="483">
        <f>49*A216</f>
        <v>17.8507</v>
      </c>
      <c r="E237" s="94">
        <f>'таланты+инициативы0,2714'!E208</f>
        <v>101.88</v>
      </c>
      <c r="F237" s="232">
        <f t="shared" si="10"/>
        <v>1818.6293159999998</v>
      </c>
    </row>
    <row r="238" spans="1:6" x14ac:dyDescent="0.25">
      <c r="A238" s="201" t="str">
        <f>'таланты+инициативы0,2714'!A209</f>
        <v>мешки мусор</v>
      </c>
      <c r="B238" s="287" t="str">
        <f>'инновации+добровольчество0,3643'!B227</f>
        <v>шт</v>
      </c>
      <c r="C238" s="94"/>
      <c r="D238" s="483">
        <f>47*A216</f>
        <v>17.1221</v>
      </c>
      <c r="E238" s="94">
        <f>'таланты+инициативы0,2714'!E209</f>
        <v>170.27</v>
      </c>
      <c r="F238" s="232">
        <f t="shared" si="10"/>
        <v>2915.3799670000003</v>
      </c>
    </row>
    <row r="239" spans="1:6" s="275" customFormat="1" x14ac:dyDescent="0.25">
      <c r="A239" s="201" t="str">
        <f>'таланты+инициативы0,2714'!A210</f>
        <v>мыло крем</v>
      </c>
      <c r="B239" s="287" t="str">
        <f>'инновации+добровольчество0,3643'!B228</f>
        <v>шт</v>
      </c>
      <c r="C239" s="94"/>
      <c r="D239" s="483">
        <f>A216</f>
        <v>0.36430000000000001</v>
      </c>
      <c r="E239" s="94">
        <f>'таланты+инициативы0,2714'!E210</f>
        <v>726.43</v>
      </c>
      <c r="F239" s="232">
        <f t="shared" si="10"/>
        <v>264.63844899999998</v>
      </c>
    </row>
    <row r="240" spans="1:6" x14ac:dyDescent="0.25">
      <c r="A240" s="201" t="str">
        <f>'таланты+инициативы0,2714'!A211</f>
        <v>текстовыделитель, нож макет</v>
      </c>
      <c r="B240" s="287" t="str">
        <f>'инновации+добровольчество0,3643'!B229</f>
        <v>шт</v>
      </c>
      <c r="C240" s="94"/>
      <c r="D240" s="483">
        <f>5*A216</f>
        <v>1.8215000000000001</v>
      </c>
      <c r="E240" s="94">
        <f>'таланты+инициативы0,2714'!E211</f>
        <v>246.92</v>
      </c>
      <c r="F240" s="232">
        <f t="shared" si="10"/>
        <v>449.76478000000003</v>
      </c>
    </row>
    <row r="241" spans="1:6" x14ac:dyDescent="0.25">
      <c r="A241" s="201" t="str">
        <f>'таланты+инициативы0,2714'!A212</f>
        <v>освежитель</v>
      </c>
      <c r="B241" s="287" t="str">
        <f>'инновации+добровольчество0,3643'!B230</f>
        <v>шт</v>
      </c>
      <c r="C241" s="94"/>
      <c r="D241" s="483">
        <f>15*A216</f>
        <v>5.4645000000000001</v>
      </c>
      <c r="E241" s="94">
        <f>'таланты+инициативы0,2714'!E212</f>
        <v>98.47</v>
      </c>
      <c r="F241" s="232">
        <f t="shared" si="10"/>
        <v>538.08931500000006</v>
      </c>
    </row>
    <row r="242" spans="1:6" x14ac:dyDescent="0.25">
      <c r="A242" s="201" t="str">
        <f>'таланты+инициативы0,2714'!A213</f>
        <v>папка</v>
      </c>
      <c r="B242" s="160" t="s">
        <v>84</v>
      </c>
      <c r="C242" s="94"/>
      <c r="D242" s="483">
        <f>107*A216</f>
        <v>38.9801</v>
      </c>
      <c r="E242" s="94">
        <f>'таланты+инициативы0,2714'!E213</f>
        <v>23.05</v>
      </c>
      <c r="F242" s="232">
        <f t="shared" si="10"/>
        <v>898.49130500000001</v>
      </c>
    </row>
    <row r="243" spans="1:6" x14ac:dyDescent="0.25">
      <c r="A243" s="201" t="str">
        <f>'таланты+инициативы0,2714'!A214</f>
        <v>перчатки, полотенца, салфетки</v>
      </c>
      <c r="B243" s="160" t="s">
        <v>84</v>
      </c>
      <c r="C243" s="94"/>
      <c r="D243" s="483">
        <f>50*A216</f>
        <v>18.215</v>
      </c>
      <c r="E243" s="94">
        <f>'таланты+инициативы0,2714'!E214</f>
        <v>378.48</v>
      </c>
      <c r="F243" s="232">
        <f t="shared" si="10"/>
        <v>6894.0132000000003</v>
      </c>
    </row>
    <row r="244" spans="1:6" x14ac:dyDescent="0.25">
      <c r="A244" s="201" t="str">
        <f>'таланты+инициативы0,2714'!A215</f>
        <v>свечи</v>
      </c>
      <c r="B244" s="160" t="s">
        <v>84</v>
      </c>
      <c r="C244" s="94"/>
      <c r="D244" s="483">
        <f>2*A216</f>
        <v>0.72860000000000003</v>
      </c>
      <c r="E244" s="94">
        <f>'таланты+инициативы0,2714'!E215</f>
        <v>142.08000000000001</v>
      </c>
      <c r="F244" s="232">
        <f t="shared" si="10"/>
        <v>103.51948800000001</v>
      </c>
    </row>
    <row r="245" spans="1:6" x14ac:dyDescent="0.25">
      <c r="A245" s="201" t="str">
        <f>'таланты+инициативы0,2714'!A216</f>
        <v>кнопки, скобы</v>
      </c>
      <c r="B245" s="160" t="s">
        <v>84</v>
      </c>
      <c r="C245" s="94"/>
      <c r="D245" s="483">
        <f>190*A216</f>
        <v>69.216999999999999</v>
      </c>
      <c r="E245" s="94">
        <f>'таланты+инициативы0,2714'!E216</f>
        <v>27.88</v>
      </c>
      <c r="F245" s="232">
        <f t="shared" ref="F245:F278" si="13">D245*E245</f>
        <v>1929.7699599999999</v>
      </c>
    </row>
    <row r="246" spans="1:6" x14ac:dyDescent="0.25">
      <c r="A246" s="201" t="str">
        <f>'таланты+инициативы0,2714'!A217</f>
        <v>моющие ср-ва</v>
      </c>
      <c r="B246" s="160" t="s">
        <v>84</v>
      </c>
      <c r="C246" s="94"/>
      <c r="D246" s="483">
        <f>2*A216</f>
        <v>0.72860000000000003</v>
      </c>
      <c r="E246" s="94">
        <f>'таланты+инициативы0,2714'!E217</f>
        <v>740.15499999999997</v>
      </c>
      <c r="F246" s="232">
        <f t="shared" si="13"/>
        <v>539.27693299999999</v>
      </c>
    </row>
    <row r="247" spans="1:6" x14ac:dyDescent="0.25">
      <c r="A247" s="201" t="str">
        <f>'таланты+инициативы0,2714'!A218</f>
        <v>хомуты</v>
      </c>
      <c r="B247" s="160" t="s">
        <v>84</v>
      </c>
      <c r="C247" s="94"/>
      <c r="D247" s="483">
        <f>5*A216</f>
        <v>1.8215000000000001</v>
      </c>
      <c r="E247" s="94">
        <f>'таланты+инициативы0,2714'!E218</f>
        <v>105.684</v>
      </c>
      <c r="F247" s="232">
        <f t="shared" si="13"/>
        <v>192.50340600000001</v>
      </c>
    </row>
    <row r="248" spans="1:6" x14ac:dyDescent="0.25">
      <c r="A248" s="201" t="str">
        <f>'таланты+инициативы0,2714'!A219</f>
        <v>чистящие ср-ва</v>
      </c>
      <c r="B248" s="160" t="s">
        <v>84</v>
      </c>
      <c r="C248" s="94"/>
      <c r="D248" s="483">
        <f>10*A216</f>
        <v>3.6430000000000002</v>
      </c>
      <c r="E248" s="94">
        <f>'таланты+инициативы0,2714'!E219</f>
        <v>265.80500000000001</v>
      </c>
      <c r="F248" s="232">
        <f t="shared" si="13"/>
        <v>968.32761500000004</v>
      </c>
    </row>
    <row r="249" spans="1:6" x14ac:dyDescent="0.25">
      <c r="A249" s="201" t="str">
        <f>'таланты+инициативы0,2714'!A220</f>
        <v>шпагат</v>
      </c>
      <c r="B249" s="160" t="s">
        <v>84</v>
      </c>
      <c r="C249" s="94"/>
      <c r="D249" s="483">
        <f>2*A216</f>
        <v>0.72860000000000003</v>
      </c>
      <c r="E249" s="94">
        <f>'таланты+инициативы0,2714'!E220</f>
        <v>448.15499999999997</v>
      </c>
      <c r="F249" s="232">
        <f t="shared" si="13"/>
        <v>326.525733</v>
      </c>
    </row>
    <row r="250" spans="1:6" x14ac:dyDescent="0.25">
      <c r="A250" s="201" t="str">
        <f>'таланты+инициативы0,2714'!A221</f>
        <v>Флаг парус 3650*815</v>
      </c>
      <c r="B250" s="160" t="s">
        <v>84</v>
      </c>
      <c r="C250" s="94"/>
      <c r="D250" s="483">
        <f>8*A216</f>
        <v>2.9144000000000001</v>
      </c>
      <c r="E250" s="94">
        <f>'таланты+инициативы0,2714'!E221</f>
        <v>6500</v>
      </c>
      <c r="F250" s="232">
        <f t="shared" si="13"/>
        <v>18943.600000000002</v>
      </c>
    </row>
    <row r="251" spans="1:6" x14ac:dyDescent="0.25">
      <c r="A251" s="201" t="str">
        <f>'таланты+инициативы0,2714'!A222</f>
        <v>Сумка кофр</v>
      </c>
      <c r="B251" s="160" t="s">
        <v>84</v>
      </c>
      <c r="C251" s="94"/>
      <c r="D251" s="483">
        <f>6*A216</f>
        <v>2.1858</v>
      </c>
      <c r="E251" s="94">
        <f>'таланты+инициативы0,2714'!E222</f>
        <v>2500</v>
      </c>
      <c r="F251" s="232">
        <f t="shared" si="13"/>
        <v>5464.5</v>
      </c>
    </row>
    <row r="252" spans="1:6" x14ac:dyDescent="0.25">
      <c r="A252" s="201" t="str">
        <f>'таланты+инициативы0,2714'!A223</f>
        <v>мачта разборная</v>
      </c>
      <c r="B252" s="160" t="s">
        <v>84</v>
      </c>
      <c r="C252" s="94"/>
      <c r="D252" s="483">
        <f>6*A216</f>
        <v>2.1858</v>
      </c>
      <c r="E252" s="94">
        <f>'таланты+инициативы0,2714'!E223</f>
        <v>2500</v>
      </c>
      <c r="F252" s="232">
        <f t="shared" si="13"/>
        <v>5464.5</v>
      </c>
    </row>
    <row r="253" spans="1:6" x14ac:dyDescent="0.25">
      <c r="A253" s="201" t="str">
        <f>'таланты+инициативы0,2714'!A224</f>
        <v>наливное пластиковое основание</v>
      </c>
      <c r="B253" s="160" t="s">
        <v>84</v>
      </c>
      <c r="C253" s="94"/>
      <c r="D253" s="483">
        <f>6*A216</f>
        <v>2.1858</v>
      </c>
      <c r="E253" s="94">
        <f>'таланты+инициативы0,2714'!E224</f>
        <v>5500</v>
      </c>
      <c r="F253" s="232">
        <f t="shared" si="13"/>
        <v>12021.9</v>
      </c>
    </row>
    <row r="254" spans="1:6" x14ac:dyDescent="0.25">
      <c r="A254" s="201" t="str">
        <f>'таланты+инициативы0,2714'!A225</f>
        <v>Бумага А4</v>
      </c>
      <c r="B254" s="160" t="s">
        <v>84</v>
      </c>
      <c r="C254" s="94"/>
      <c r="D254" s="483">
        <f>40*A216</f>
        <v>14.572000000000001</v>
      </c>
      <c r="E254" s="94">
        <f>'таланты+инициативы0,2714'!E225</f>
        <v>350</v>
      </c>
      <c r="F254" s="232">
        <f t="shared" si="13"/>
        <v>5100.2000000000007</v>
      </c>
    </row>
    <row r="255" spans="1:6" x14ac:dyDescent="0.25">
      <c r="A255" s="201" t="str">
        <f>'таланты+инициативы0,2714'!A226</f>
        <v>Бумага Ксерокс</v>
      </c>
      <c r="B255" s="160" t="s">
        <v>84</v>
      </c>
      <c r="C255" s="94"/>
      <c r="D255" s="483">
        <f>10*A216</f>
        <v>3.6430000000000002</v>
      </c>
      <c r="E255" s="94">
        <f>'таланты+инициативы0,2714'!E226</f>
        <v>850</v>
      </c>
      <c r="F255" s="232">
        <f t="shared" si="13"/>
        <v>3096.55</v>
      </c>
    </row>
    <row r="256" spans="1:6" x14ac:dyDescent="0.25">
      <c r="A256" s="201" t="str">
        <f>'таланты+инициативы0,2714'!A227</f>
        <v>Холст кактус</v>
      </c>
      <c r="B256" s="160" t="s">
        <v>84</v>
      </c>
      <c r="C256" s="94"/>
      <c r="D256" s="483">
        <f>2*A216</f>
        <v>0.72860000000000003</v>
      </c>
      <c r="E256" s="94">
        <f>'таланты+инициативы0,2714'!E227</f>
        <v>7500</v>
      </c>
      <c r="F256" s="232">
        <f t="shared" si="13"/>
        <v>5464.5</v>
      </c>
    </row>
    <row r="257" spans="1:6" x14ac:dyDescent="0.25">
      <c r="A257" s="201" t="str">
        <f>'таланты+инициативы0,2714'!A228</f>
        <v>Пленка для ламинирования</v>
      </c>
      <c r="B257" s="160" t="s">
        <v>84</v>
      </c>
      <c r="C257" s="94"/>
      <c r="D257" s="483">
        <f>5*A216</f>
        <v>1.8215000000000001</v>
      </c>
      <c r="E257" s="94">
        <f>'таланты+инициативы0,2714'!E228</f>
        <v>800</v>
      </c>
      <c r="F257" s="232">
        <f t="shared" si="13"/>
        <v>1457.2</v>
      </c>
    </row>
    <row r="258" spans="1:6" x14ac:dyDescent="0.25">
      <c r="A258" s="201" t="str">
        <f>'таланты+инициативы0,2714'!A229</f>
        <v>Ручка гель</v>
      </c>
      <c r="B258" s="160" t="s">
        <v>84</v>
      </c>
      <c r="C258" s="94"/>
      <c r="D258" s="483">
        <f>20*A216</f>
        <v>7.2860000000000005</v>
      </c>
      <c r="E258" s="94">
        <f>'таланты+инициативы0,2714'!E229</f>
        <v>50</v>
      </c>
      <c r="F258" s="232">
        <f t="shared" si="13"/>
        <v>364.3</v>
      </c>
    </row>
    <row r="259" spans="1:6" x14ac:dyDescent="0.25">
      <c r="A259" s="201" t="str">
        <f>'таланты+инициативы0,2714'!A230</f>
        <v>Ложка суповая</v>
      </c>
      <c r="B259" s="160" t="s">
        <v>84</v>
      </c>
      <c r="C259" s="94"/>
      <c r="D259" s="483">
        <f>1000*A216</f>
        <v>364.3</v>
      </c>
      <c r="E259" s="94">
        <f>'таланты+инициативы0,2714'!E230</f>
        <v>4</v>
      </c>
      <c r="F259" s="232">
        <f t="shared" si="13"/>
        <v>1457.2</v>
      </c>
    </row>
    <row r="260" spans="1:6" x14ac:dyDescent="0.25">
      <c r="A260" s="201" t="str">
        <f>'таланты+инициативы0,2714'!A231</f>
        <v>Тарелка суповая</v>
      </c>
      <c r="B260" s="160" t="s">
        <v>84</v>
      </c>
      <c r="C260" s="94"/>
      <c r="D260" s="483">
        <f>1000*A216</f>
        <v>364.3</v>
      </c>
      <c r="E260" s="94">
        <f>'таланты+инициативы0,2714'!E231</f>
        <v>5</v>
      </c>
      <c r="F260" s="232">
        <f t="shared" si="13"/>
        <v>1821.5</v>
      </c>
    </row>
    <row r="261" spans="1:6" x14ac:dyDescent="0.25">
      <c r="A261" s="201" t="str">
        <f>'таланты+инициативы0,2714'!A232</f>
        <v xml:space="preserve">Стакан однораз </v>
      </c>
      <c r="B261" s="160" t="s">
        <v>84</v>
      </c>
      <c r="C261" s="94"/>
      <c r="D261" s="483">
        <f>2000*A216</f>
        <v>728.6</v>
      </c>
      <c r="E261" s="94">
        <f>'таланты+инициативы0,2714'!E232</f>
        <v>2</v>
      </c>
      <c r="F261" s="232">
        <f t="shared" si="13"/>
        <v>1457.2</v>
      </c>
    </row>
    <row r="262" spans="1:6" x14ac:dyDescent="0.25">
      <c r="A262" s="201" t="str">
        <f>'таланты+инициативы0,2714'!A233</f>
        <v>Стакан однораз 250 мл</v>
      </c>
      <c r="B262" s="160" t="s">
        <v>84</v>
      </c>
      <c r="C262" s="94"/>
      <c r="D262" s="483">
        <f>1000*A216</f>
        <v>364.3</v>
      </c>
      <c r="E262" s="94">
        <f>'таланты+инициативы0,2714'!E233</f>
        <v>5.5</v>
      </c>
      <c r="F262" s="232">
        <f t="shared" si="13"/>
        <v>2003.65</v>
      </c>
    </row>
    <row r="263" spans="1:6" x14ac:dyDescent="0.25">
      <c r="A263" s="201" t="str">
        <f>'таланты+инициативы0,2714'!A234</f>
        <v>Бумага цветная</v>
      </c>
      <c r="B263" s="160" t="s">
        <v>84</v>
      </c>
      <c r="C263" s="94"/>
      <c r="D263" s="483">
        <f>4*A216</f>
        <v>1.4572000000000001</v>
      </c>
      <c r="E263" s="94">
        <f>'таланты+инициативы0,2714'!E234</f>
        <v>550</v>
      </c>
      <c r="F263" s="232">
        <f t="shared" si="13"/>
        <v>801.46</v>
      </c>
    </row>
    <row r="264" spans="1:6" x14ac:dyDescent="0.25">
      <c r="A264" s="201" t="str">
        <f>'таланты+инициативы0,2714'!A235</f>
        <v>Бумага писчая</v>
      </c>
      <c r="B264" s="160" t="s">
        <v>84</v>
      </c>
      <c r="C264" s="94"/>
      <c r="D264" s="483">
        <f>5*A216</f>
        <v>1.8215000000000001</v>
      </c>
      <c r="E264" s="94">
        <f>'таланты+инициативы0,2714'!E235</f>
        <v>340</v>
      </c>
      <c r="F264" s="232">
        <f t="shared" si="13"/>
        <v>619.31000000000006</v>
      </c>
    </row>
    <row r="265" spans="1:6" x14ac:dyDescent="0.25">
      <c r="A265" s="201" t="str">
        <f>'таланты+инициативы0,2714'!A236</f>
        <v>Фитолента</v>
      </c>
      <c r="B265" s="160" t="s">
        <v>84</v>
      </c>
      <c r="C265" s="94"/>
      <c r="D265" s="483">
        <f>5*A216</f>
        <v>1.8215000000000001</v>
      </c>
      <c r="E265" s="94">
        <f>'таланты+инициативы0,2714'!E236</f>
        <v>1250</v>
      </c>
      <c r="F265" s="232">
        <f t="shared" si="13"/>
        <v>2276.875</v>
      </c>
    </row>
    <row r="266" spans="1:6" x14ac:dyDescent="0.25">
      <c r="A266" s="201" t="str">
        <f>'таланты+инициативы0,2714'!A237</f>
        <v>грунт универсал</v>
      </c>
      <c r="B266" s="160" t="s">
        <v>84</v>
      </c>
      <c r="C266" s="94"/>
      <c r="D266" s="483">
        <f>5*A216</f>
        <v>1.8215000000000001</v>
      </c>
      <c r="E266" s="94">
        <f>'таланты+инициативы0,2714'!E237</f>
        <v>700</v>
      </c>
      <c r="F266" s="232">
        <f t="shared" si="13"/>
        <v>1275.0500000000002</v>
      </c>
    </row>
    <row r="267" spans="1:6" x14ac:dyDescent="0.25">
      <c r="A267" s="201" t="str">
        <f>'таланты+инициативы0,2714'!A238</f>
        <v>комплект рассадников</v>
      </c>
      <c r="B267" s="160" t="s">
        <v>84</v>
      </c>
      <c r="C267" s="94"/>
      <c r="D267" s="483">
        <f>35*A216</f>
        <v>12.750500000000001</v>
      </c>
      <c r="E267" s="94">
        <f>'таланты+инициативы0,2714'!E238</f>
        <v>250</v>
      </c>
      <c r="F267" s="232">
        <f t="shared" si="13"/>
        <v>3187.625</v>
      </c>
    </row>
    <row r="268" spans="1:6" x14ac:dyDescent="0.25">
      <c r="A268" s="201" t="str">
        <f>'таланты+инициативы0,2714'!A239</f>
        <v>семена цветов</v>
      </c>
      <c r="B268" s="160" t="s">
        <v>84</v>
      </c>
      <c r="C268" s="94"/>
      <c r="D268" s="483">
        <f>60*A216</f>
        <v>21.858000000000001</v>
      </c>
      <c r="E268" s="94">
        <f>'таланты+инициативы0,2714'!E239</f>
        <v>35</v>
      </c>
      <c r="F268" s="232">
        <f t="shared" si="13"/>
        <v>765.03</v>
      </c>
    </row>
    <row r="269" spans="1:6" x14ac:dyDescent="0.25">
      <c r="A269" s="201" t="str">
        <f>'таланты+инициативы0,2714'!A240</f>
        <v>пьезозажтгалка</v>
      </c>
      <c r="B269" s="160" t="s">
        <v>84</v>
      </c>
      <c r="C269" s="94"/>
      <c r="D269" s="483">
        <f>10*A216</f>
        <v>3.6430000000000002</v>
      </c>
      <c r="E269" s="94">
        <f>'таланты+инициативы0,2714'!E240</f>
        <v>350</v>
      </c>
      <c r="F269" s="232">
        <f t="shared" si="13"/>
        <v>1275.0500000000002</v>
      </c>
    </row>
    <row r="270" spans="1:6" x14ac:dyDescent="0.25">
      <c r="A270" s="201" t="str">
        <f>'таланты+инициативы0,2714'!A241</f>
        <v>лейка садовая</v>
      </c>
      <c r="B270" s="160" t="s">
        <v>84</v>
      </c>
      <c r="C270" s="94"/>
      <c r="D270" s="483">
        <f>A216</f>
        <v>0.36430000000000001</v>
      </c>
      <c r="E270" s="94">
        <f>'таланты+инициативы0,2714'!E241</f>
        <v>450</v>
      </c>
      <c r="F270" s="232">
        <f t="shared" si="13"/>
        <v>163.935</v>
      </c>
    </row>
    <row r="271" spans="1:6" x14ac:dyDescent="0.25">
      <c r="A271" s="201" t="str">
        <f>'таланты+инициативы0,2714'!A242</f>
        <v>Толстовка мц</v>
      </c>
      <c r="B271" s="160" t="s">
        <v>84</v>
      </c>
      <c r="C271" s="94"/>
      <c r="D271" s="483">
        <f>7*A216</f>
        <v>2.5501</v>
      </c>
      <c r="E271" s="94">
        <f>'таланты+инициативы0,2714'!E242</f>
        <v>3200</v>
      </c>
      <c r="F271" s="232">
        <f t="shared" si="13"/>
        <v>8160.32</v>
      </c>
    </row>
    <row r="272" spans="1:6" x14ac:dyDescent="0.25">
      <c r="A272" s="201" t="str">
        <f>'таланты+инициативы0,2714'!A243</f>
        <v>футболка мц</v>
      </c>
      <c r="B272" s="160" t="s">
        <v>84</v>
      </c>
      <c r="C272" s="94"/>
      <c r="D272" s="483">
        <f>10*A216</f>
        <v>3.6430000000000002</v>
      </c>
      <c r="E272" s="94">
        <f>'таланты+инициативы0,2714'!E243</f>
        <v>1260</v>
      </c>
      <c r="F272" s="232">
        <f t="shared" si="13"/>
        <v>4590.18</v>
      </c>
    </row>
    <row r="273" spans="1:6" x14ac:dyDescent="0.25">
      <c r="A273" s="201" t="str">
        <f>'таланты+инициативы0,2714'!A244</f>
        <v>бейсболка мц</v>
      </c>
      <c r="B273" s="160" t="s">
        <v>84</v>
      </c>
      <c r="C273" s="94"/>
      <c r="D273" s="483">
        <f>7*A216</f>
        <v>2.5501</v>
      </c>
      <c r="E273" s="94">
        <f>'таланты+инициативы0,2714'!E244</f>
        <v>800</v>
      </c>
      <c r="F273" s="232">
        <f t="shared" si="13"/>
        <v>2040.08</v>
      </c>
    </row>
    <row r="274" spans="1:6" x14ac:dyDescent="0.25">
      <c r="A274" s="201" t="str">
        <f>'таланты+инициативы0,2714'!A245</f>
        <v>флаг мц</v>
      </c>
      <c r="B274" s="160" t="s">
        <v>84</v>
      </c>
      <c r="C274" s="94"/>
      <c r="D274" s="483">
        <f>A216</f>
        <v>0.36430000000000001</v>
      </c>
      <c r="E274" s="94">
        <f>'таланты+инициативы0,2714'!E245</f>
        <v>2400</v>
      </c>
      <c r="F274" s="232">
        <f t="shared" si="13"/>
        <v>874.32</v>
      </c>
    </row>
    <row r="275" spans="1:6" ht="16.5" x14ac:dyDescent="0.25">
      <c r="A275" s="201" t="str">
        <f>'таланты+инициативы0,2714'!A246</f>
        <v>Футболка черная</v>
      </c>
      <c r="B275" s="160" t="s">
        <v>84</v>
      </c>
      <c r="C275" s="94"/>
      <c r="D275" s="484">
        <f>5*A216</f>
        <v>1.8215000000000001</v>
      </c>
      <c r="E275" s="94">
        <f>'таланты+инициативы0,2714'!E246</f>
        <v>2000</v>
      </c>
      <c r="F275" s="232">
        <f t="shared" si="13"/>
        <v>3643.0000000000005</v>
      </c>
    </row>
    <row r="276" spans="1:6" ht="16.5" x14ac:dyDescent="0.25">
      <c r="A276" s="201" t="str">
        <f>'таланты+инициативы0,2714'!A247</f>
        <v>система джокер 2*3</v>
      </c>
      <c r="B276" s="160" t="s">
        <v>84</v>
      </c>
      <c r="C276" s="94"/>
      <c r="D276" s="484">
        <f>A216</f>
        <v>0.36430000000000001</v>
      </c>
      <c r="E276" s="94">
        <f>'таланты+инициативы0,2714'!E247</f>
        <v>9800</v>
      </c>
      <c r="F276" s="232">
        <f t="shared" si="13"/>
        <v>3570.1400000000003</v>
      </c>
    </row>
    <row r="277" spans="1:6" ht="16.5" x14ac:dyDescent="0.25">
      <c r="A277" s="201" t="str">
        <f>'таланты+инициативы0,2714'!A248</f>
        <v>система джокер 2*2</v>
      </c>
      <c r="B277" s="160" t="s">
        <v>84</v>
      </c>
      <c r="C277" s="94"/>
      <c r="D277" s="484">
        <f>2*A216</f>
        <v>0.72860000000000003</v>
      </c>
      <c r="E277" s="94">
        <f>'таланты+инициативы0,2714'!E248</f>
        <v>9800</v>
      </c>
      <c r="F277" s="232">
        <f t="shared" si="13"/>
        <v>7140.2800000000007</v>
      </c>
    </row>
    <row r="278" spans="1:6" ht="16.5" x14ac:dyDescent="0.25">
      <c r="A278" s="201" t="str">
        <f>'таланты+инициативы0,2714'!A249</f>
        <v xml:space="preserve">мачта разборка </v>
      </c>
      <c r="B278" s="160" t="s">
        <v>84</v>
      </c>
      <c r="C278" s="94"/>
      <c r="D278" s="484">
        <f>A216</f>
        <v>0.36430000000000001</v>
      </c>
      <c r="E278" s="94">
        <f>'таланты+инициативы0,2714'!E249</f>
        <v>6000</v>
      </c>
      <c r="F278" s="232">
        <f t="shared" si="13"/>
        <v>2185.8000000000002</v>
      </c>
    </row>
    <row r="279" spans="1:6" ht="16.5" x14ac:dyDescent="0.25">
      <c r="A279" s="201" t="str">
        <f>'таланты+инициативы0,2714'!A250</f>
        <v>флаг парус</v>
      </c>
      <c r="B279" s="160" t="s">
        <v>84</v>
      </c>
      <c r="C279" s="94"/>
      <c r="D279" s="484">
        <f>A216</f>
        <v>0.36430000000000001</v>
      </c>
      <c r="E279" s="94">
        <f>'таланты+инициативы0,2714'!E250</f>
        <v>6500</v>
      </c>
      <c r="F279" s="232">
        <f t="shared" ref="F279:F301" si="14">D279*E279</f>
        <v>2367.9500000000003</v>
      </c>
    </row>
    <row r="280" spans="1:6" ht="16.5" x14ac:dyDescent="0.25">
      <c r="A280" s="201" t="str">
        <f>'таланты+инициативы0,2714'!A251</f>
        <v>сучка кофр</v>
      </c>
      <c r="B280" s="160" t="s">
        <v>84</v>
      </c>
      <c r="C280" s="94"/>
      <c r="D280" s="484">
        <f>A216</f>
        <v>0.36430000000000001</v>
      </c>
      <c r="E280" s="94">
        <f>'таланты+инициативы0,2714'!E251</f>
        <v>2500</v>
      </c>
      <c r="F280" s="232">
        <f t="shared" si="14"/>
        <v>910.75</v>
      </c>
    </row>
    <row r="281" spans="1:6" ht="16.5" x14ac:dyDescent="0.25">
      <c r="A281" s="201" t="str">
        <f>'таланты+инициативы0,2714'!A252</f>
        <v>Бумага А4 офисная</v>
      </c>
      <c r="B281" s="160" t="s">
        <v>84</v>
      </c>
      <c r="C281" s="94"/>
      <c r="D281" s="484">
        <f>80*A216</f>
        <v>29.144000000000002</v>
      </c>
      <c r="E281" s="94">
        <f>'таланты+инициативы0,2714'!E252</f>
        <v>377.5</v>
      </c>
      <c r="F281" s="232">
        <f t="shared" si="14"/>
        <v>11001.86</v>
      </c>
    </row>
    <row r="282" spans="1:6" ht="16.5" x14ac:dyDescent="0.25">
      <c r="A282" s="201" t="str">
        <f>'таланты+инициативы0,2714'!A253</f>
        <v>Фотобумага А4 глянцевая</v>
      </c>
      <c r="B282" s="160" t="s">
        <v>84</v>
      </c>
      <c r="C282" s="94"/>
      <c r="D282" s="484">
        <f>46*A216</f>
        <v>16.7578</v>
      </c>
      <c r="E282" s="94">
        <f>'таланты+инициативы0,2714'!E253</f>
        <v>1040</v>
      </c>
      <c r="F282" s="232">
        <f t="shared" si="14"/>
        <v>17428.112000000001</v>
      </c>
    </row>
    <row r="283" spans="1:6" ht="16.5" x14ac:dyDescent="0.25">
      <c r="A283" s="201" t="str">
        <f>'таланты+инициативы0,2714'!A254</f>
        <v>Карта памяти Kingston для экшн камеры</v>
      </c>
      <c r="B283" s="160" t="s">
        <v>84</v>
      </c>
      <c r="C283" s="94"/>
      <c r="D283" s="484">
        <f>A216</f>
        <v>0.36430000000000001</v>
      </c>
      <c r="E283" s="94">
        <f>'таланты+инициативы0,2714'!E254</f>
        <v>11990</v>
      </c>
      <c r="F283" s="232">
        <f t="shared" si="14"/>
        <v>4367.9570000000003</v>
      </c>
    </row>
    <row r="284" spans="1:6" ht="16.5" x14ac:dyDescent="0.25">
      <c r="A284" s="201" t="str">
        <f>'таланты+инициативы0,2714'!A255</f>
        <v>Фоторамки</v>
      </c>
      <c r="B284" s="160" t="s">
        <v>84</v>
      </c>
      <c r="C284" s="94"/>
      <c r="D284" s="484">
        <f>200*A216</f>
        <v>72.86</v>
      </c>
      <c r="E284" s="94">
        <f>'таланты+инициативы0,2714'!E255</f>
        <v>205</v>
      </c>
      <c r="F284" s="232">
        <f>D284*E284-75.3</f>
        <v>14861</v>
      </c>
    </row>
    <row r="285" spans="1:6" ht="16.5" x14ac:dyDescent="0.25">
      <c r="A285" s="201" t="str">
        <f>'таланты+инициативы0,2714'!A256</f>
        <v>Мышь USB</v>
      </c>
      <c r="B285" s="160" t="s">
        <v>84</v>
      </c>
      <c r="C285" s="94"/>
      <c r="D285" s="484">
        <f>4*A216</f>
        <v>1.4572000000000001</v>
      </c>
      <c r="E285" s="94">
        <f>'таланты+инициативы0,2714'!E256</f>
        <v>487.5</v>
      </c>
      <c r="F285" s="232">
        <f t="shared" si="14"/>
        <v>710.38499999999999</v>
      </c>
    </row>
    <row r="286" spans="1:6" ht="16.5" x14ac:dyDescent="0.25">
      <c r="A286" s="201" t="str">
        <f>'таланты+инициативы0,2714'!A257</f>
        <v>Фанера</v>
      </c>
      <c r="B286" s="160" t="s">
        <v>84</v>
      </c>
      <c r="C286" s="94"/>
      <c r="D286" s="484">
        <f>40*A216</f>
        <v>14.572000000000001</v>
      </c>
      <c r="E286" s="94">
        <f>'таланты+инициативы0,2714'!E257</f>
        <v>1100</v>
      </c>
      <c r="F286" s="232">
        <f t="shared" si="14"/>
        <v>16029.2</v>
      </c>
    </row>
    <row r="287" spans="1:6" ht="16.5" x14ac:dyDescent="0.25">
      <c r="A287" s="201" t="str">
        <f>'таланты+инициативы0,2714'!A258</f>
        <v>Труба профильная</v>
      </c>
      <c r="B287" s="160" t="s">
        <v>84</v>
      </c>
      <c r="C287" s="94"/>
      <c r="D287" s="484">
        <f>70*A216</f>
        <v>25.501000000000001</v>
      </c>
      <c r="E287" s="94">
        <f>'таланты+инициативы0,2714'!E258</f>
        <v>110</v>
      </c>
      <c r="F287" s="232">
        <f t="shared" si="14"/>
        <v>2805.11</v>
      </c>
    </row>
    <row r="288" spans="1:6" ht="16.5" x14ac:dyDescent="0.25">
      <c r="A288" s="201" t="str">
        <f>'таланты+инициативы0,2714'!A259</f>
        <v>Фанера березовая шлифованная</v>
      </c>
      <c r="B288" s="160" t="s">
        <v>84</v>
      </c>
      <c r="C288" s="94"/>
      <c r="D288" s="484">
        <f>10*A216</f>
        <v>3.6430000000000002</v>
      </c>
      <c r="E288" s="94">
        <f>'таланты+инициативы0,2714'!E259</f>
        <v>1900</v>
      </c>
      <c r="F288" s="232">
        <f t="shared" si="14"/>
        <v>6921.7000000000007</v>
      </c>
    </row>
    <row r="289" spans="1:6" ht="16.5" x14ac:dyDescent="0.25">
      <c r="A289" s="201" t="str">
        <f>'таланты+инициативы0,2714'!A260</f>
        <v>Чернозем для клумб</v>
      </c>
      <c r="B289" s="160" t="s">
        <v>84</v>
      </c>
      <c r="C289" s="94"/>
      <c r="D289" s="484">
        <f>2*A216</f>
        <v>0.72860000000000003</v>
      </c>
      <c r="E289" s="94">
        <f>'таланты+инициативы0,2714'!E260</f>
        <v>3500</v>
      </c>
      <c r="F289" s="232">
        <f t="shared" si="14"/>
        <v>2550.1</v>
      </c>
    </row>
    <row r="290" spans="1:6" x14ac:dyDescent="0.25">
      <c r="A290" s="201" t="str">
        <f>'таланты+инициативы0,2714'!A261</f>
        <v>Кисти</v>
      </c>
      <c r="B290" s="160" t="s">
        <v>84</v>
      </c>
      <c r="C290" s="94"/>
      <c r="D290" s="485">
        <f>40*A216</f>
        <v>14.572000000000001</v>
      </c>
      <c r="E290" s="94">
        <f>'таланты+инициативы0,2714'!E261</f>
        <v>50</v>
      </c>
      <c r="F290" s="232">
        <f t="shared" si="14"/>
        <v>728.6</v>
      </c>
    </row>
    <row r="291" spans="1:6" ht="16.5" x14ac:dyDescent="0.25">
      <c r="A291" s="201" t="str">
        <f>'таланты+инициативы0,2714'!A262</f>
        <v>краска кудо</v>
      </c>
      <c r="B291" s="160" t="s">
        <v>84</v>
      </c>
      <c r="C291" s="94"/>
      <c r="D291" s="484">
        <f>10*A216</f>
        <v>3.6430000000000002</v>
      </c>
      <c r="E291" s="94">
        <f>'таланты+инициативы0,2714'!E262</f>
        <v>300</v>
      </c>
      <c r="F291" s="232">
        <f t="shared" si="14"/>
        <v>1092.9000000000001</v>
      </c>
    </row>
    <row r="292" spans="1:6" ht="16.5" x14ac:dyDescent="0.25">
      <c r="A292" s="201" t="str">
        <f>'таланты+инициативы0,2714'!A263</f>
        <v>Валик+ванночка</v>
      </c>
      <c r="B292" s="160" t="s">
        <v>84</v>
      </c>
      <c r="C292" s="94"/>
      <c r="D292" s="484">
        <f>10*A216</f>
        <v>3.6430000000000002</v>
      </c>
      <c r="E292" s="94">
        <f>'таланты+инициативы0,2714'!E263</f>
        <v>210</v>
      </c>
      <c r="F292" s="232">
        <f t="shared" si="14"/>
        <v>765.03000000000009</v>
      </c>
    </row>
    <row r="293" spans="1:6" ht="16.5" x14ac:dyDescent="0.25">
      <c r="A293" s="201" t="str">
        <f>'таланты+инициативы0,2714'!A264</f>
        <v>Ножницыы</v>
      </c>
      <c r="B293" s="160" t="s">
        <v>84</v>
      </c>
      <c r="C293" s="94"/>
      <c r="D293" s="484">
        <f>10*A216</f>
        <v>3.6430000000000002</v>
      </c>
      <c r="E293" s="94">
        <f>'таланты+инициативы0,2714'!E264</f>
        <v>34</v>
      </c>
      <c r="F293" s="232">
        <f t="shared" si="14"/>
        <v>123.86200000000001</v>
      </c>
    </row>
    <row r="294" spans="1:6" ht="16.5" x14ac:dyDescent="0.25">
      <c r="A294" s="201" t="str">
        <f>'таланты+инициативы0,2714'!A265</f>
        <v>Бумага А4</v>
      </c>
      <c r="B294" s="160" t="s">
        <v>84</v>
      </c>
      <c r="C294" s="94"/>
      <c r="D294" s="484">
        <f>100*A216</f>
        <v>36.43</v>
      </c>
      <c r="E294" s="94">
        <f>'таланты+инициативы0,2714'!E265</f>
        <v>205.17</v>
      </c>
      <c r="F294" s="232">
        <f t="shared" si="14"/>
        <v>7474.3430999999991</v>
      </c>
    </row>
    <row r="295" spans="1:6" ht="16.5" x14ac:dyDescent="0.25">
      <c r="A295" s="201" t="str">
        <f>'таланты+инициативы0,2714'!A266</f>
        <v>Грабли, лопаты</v>
      </c>
      <c r="B295" s="160" t="s">
        <v>84</v>
      </c>
      <c r="C295" s="94"/>
      <c r="D295" s="484">
        <f>10*A216</f>
        <v>3.6430000000000002</v>
      </c>
      <c r="E295" s="94">
        <f>'таланты+инициативы0,2714'!E266</f>
        <v>400.04</v>
      </c>
      <c r="F295" s="232">
        <f t="shared" si="14"/>
        <v>1457.3457200000003</v>
      </c>
    </row>
    <row r="296" spans="1:6" ht="16.5" x14ac:dyDescent="0.25">
      <c r="A296" s="201" t="str">
        <f>'таланты+инициативы0,2714'!A267</f>
        <v>ГСМ Бензин</v>
      </c>
      <c r="B296" s="160" t="s">
        <v>84</v>
      </c>
      <c r="C296" s="94"/>
      <c r="D296" s="484">
        <f>2600*A216</f>
        <v>947.18000000000006</v>
      </c>
      <c r="E296" s="94">
        <f>'таланты+инициативы0,2714'!E267</f>
        <v>50</v>
      </c>
      <c r="F296" s="232">
        <f t="shared" si="14"/>
        <v>47359</v>
      </c>
    </row>
    <row r="297" spans="1:6" ht="16.5" x14ac:dyDescent="0.25">
      <c r="A297" s="201" t="str">
        <f>'таланты+инициативы0,2714'!A268</f>
        <v>Набор для ухода за оптикой</v>
      </c>
      <c r="B297" s="160" t="s">
        <v>84</v>
      </c>
      <c r="C297" s="94"/>
      <c r="D297" s="484">
        <f>A216</f>
        <v>0.36430000000000001</v>
      </c>
      <c r="E297" s="94">
        <f>'таланты+инициативы0,2714'!E268</f>
        <v>1500</v>
      </c>
      <c r="F297" s="232">
        <f t="shared" si="14"/>
        <v>546.45000000000005</v>
      </c>
    </row>
    <row r="298" spans="1:6" ht="16.5" x14ac:dyDescent="0.25">
      <c r="A298" s="201" t="str">
        <f>'таланты+инициативы0,2714'!A269</f>
        <v>Фотосумка</v>
      </c>
      <c r="B298" s="160" t="s">
        <v>84</v>
      </c>
      <c r="C298" s="94"/>
      <c r="D298" s="484">
        <f>A216</f>
        <v>0.36430000000000001</v>
      </c>
      <c r="E298" s="94">
        <f>'таланты+инициативы0,2714'!E269</f>
        <v>18000</v>
      </c>
      <c r="F298" s="232">
        <f t="shared" si="14"/>
        <v>6557.4000000000005</v>
      </c>
    </row>
    <row r="299" spans="1:6" ht="16.5" x14ac:dyDescent="0.25">
      <c r="A299" s="201" t="str">
        <f>'таланты+инициативы0,2714'!A270</f>
        <v>Карта памяти Kingston для экшн камеры</v>
      </c>
      <c r="B299" s="160" t="s">
        <v>84</v>
      </c>
      <c r="C299" s="94"/>
      <c r="D299" s="484">
        <f>A216</f>
        <v>0.36430000000000001</v>
      </c>
      <c r="E299" s="94">
        <f>'таланты+инициативы0,2714'!E270</f>
        <v>13000</v>
      </c>
      <c r="F299" s="232">
        <f t="shared" si="14"/>
        <v>4735.9000000000005</v>
      </c>
    </row>
    <row r="300" spans="1:6" ht="16.5" x14ac:dyDescent="0.25">
      <c r="A300" s="201" t="str">
        <f>'таланты+инициативы0,2714'!A271</f>
        <v>Карта памяти экспресс</v>
      </c>
      <c r="B300" s="160" t="s">
        <v>84</v>
      </c>
      <c r="C300" s="94"/>
      <c r="D300" s="484">
        <f>A216</f>
        <v>0.36430000000000001</v>
      </c>
      <c r="E300" s="94">
        <f>'таланты+инициативы0,2714'!E271</f>
        <v>21000</v>
      </c>
      <c r="F300" s="232">
        <f t="shared" si="14"/>
        <v>7650.3</v>
      </c>
    </row>
    <row r="301" spans="1:6" x14ac:dyDescent="0.25">
      <c r="A301" s="201" t="str">
        <f>'таланты+инициативы0,2714'!A272</f>
        <v>Карт ридер</v>
      </c>
      <c r="B301" s="160" t="s">
        <v>84</v>
      </c>
      <c r="C301" s="94"/>
      <c r="D301" s="486">
        <f>A216</f>
        <v>0.36430000000000001</v>
      </c>
      <c r="E301" s="94">
        <f>'таланты+инициативы0,2714'!E272</f>
        <v>9000</v>
      </c>
      <c r="F301" s="232">
        <f t="shared" si="14"/>
        <v>3278.7000000000003</v>
      </c>
    </row>
    <row r="302" spans="1:6" ht="18.75" x14ac:dyDescent="0.25">
      <c r="A302" s="704" t="s">
        <v>31</v>
      </c>
      <c r="B302" s="739"/>
      <c r="C302" s="739"/>
      <c r="D302" s="739"/>
      <c r="E302" s="705"/>
      <c r="F302" s="259">
        <f>SUM(F220:F301)</f>
        <v>333325.38966700004</v>
      </c>
    </row>
    <row r="303" spans="1:6" x14ac:dyDescent="0.25">
      <c r="E303" s="159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69:B169"/>
    <mergeCell ref="A172:B172"/>
    <mergeCell ref="A302:E302"/>
    <mergeCell ref="B3:G3"/>
    <mergeCell ref="E53:E54"/>
    <mergeCell ref="F53:F54"/>
    <mergeCell ref="A55:B55"/>
    <mergeCell ref="A51:F51"/>
    <mergeCell ref="A53:B54"/>
    <mergeCell ref="D53:D54"/>
    <mergeCell ref="G53:G54"/>
    <mergeCell ref="A215:F215"/>
    <mergeCell ref="A216:F216"/>
    <mergeCell ref="A217:A218"/>
    <mergeCell ref="B217:B218"/>
    <mergeCell ref="D217:D218"/>
    <mergeCell ref="E217:E218"/>
    <mergeCell ref="F217:F218"/>
    <mergeCell ref="A190:F190"/>
    <mergeCell ref="A168:B168"/>
    <mergeCell ref="A35:H35"/>
    <mergeCell ref="A36:A38"/>
    <mergeCell ref="A170:B170"/>
    <mergeCell ref="A171:B171"/>
    <mergeCell ref="A214:E214"/>
    <mergeCell ref="A193:A194"/>
    <mergeCell ref="B193:B194"/>
    <mergeCell ref="D193:D194"/>
    <mergeCell ref="E193:E194"/>
    <mergeCell ref="F193:F194"/>
    <mergeCell ref="A182:F182"/>
    <mergeCell ref="A183:F183"/>
    <mergeCell ref="A185:A186"/>
    <mergeCell ref="B185:B186"/>
    <mergeCell ref="D185:D186"/>
    <mergeCell ref="E185:E186"/>
    <mergeCell ref="F185:F186"/>
    <mergeCell ref="A191:F191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75:G176"/>
    <mergeCell ref="G185:G186"/>
    <mergeCell ref="A4:E4"/>
    <mergeCell ref="A5:E5"/>
    <mergeCell ref="A6:E6"/>
    <mergeCell ref="G22:G23"/>
    <mergeCell ref="A173:F173"/>
    <mergeCell ref="A175:A176"/>
    <mergeCell ref="B175:B176"/>
    <mergeCell ref="D175:D176"/>
    <mergeCell ref="E175:E176"/>
    <mergeCell ref="F175:F176"/>
    <mergeCell ref="A153:E153"/>
    <mergeCell ref="A163:F163"/>
    <mergeCell ref="D166:D167"/>
    <mergeCell ref="B36:C38"/>
    <mergeCell ref="D36:E36"/>
    <mergeCell ref="D37:D38"/>
    <mergeCell ref="B125:C125"/>
    <mergeCell ref="A142:F142"/>
    <mergeCell ref="A144:A145"/>
    <mergeCell ref="B144:B145"/>
    <mergeCell ref="D144:D145"/>
    <mergeCell ref="E144:E145"/>
    <mergeCell ref="H132:H133"/>
    <mergeCell ref="G132:G133"/>
    <mergeCell ref="F132:F133"/>
    <mergeCell ref="E132:E133"/>
    <mergeCell ref="D132:D133"/>
    <mergeCell ref="D131:H131"/>
    <mergeCell ref="A130:H130"/>
    <mergeCell ref="G166:G167"/>
    <mergeCell ref="A155:F155"/>
    <mergeCell ref="B134:C134"/>
    <mergeCell ref="A166:B167"/>
    <mergeCell ref="B131:C133"/>
    <mergeCell ref="A131:A133"/>
    <mergeCell ref="F144:F145"/>
    <mergeCell ref="A121:H121"/>
    <mergeCell ref="A122:A124"/>
    <mergeCell ref="B122:C124"/>
    <mergeCell ref="D122:F122"/>
    <mergeCell ref="D123:D124"/>
    <mergeCell ref="A44:B44"/>
    <mergeCell ref="A45:B45"/>
    <mergeCell ref="A46:B46"/>
    <mergeCell ref="A47:B47"/>
    <mergeCell ref="A48:B48"/>
    <mergeCell ref="A50:F50"/>
    <mergeCell ref="B110:B112"/>
    <mergeCell ref="D110:D112"/>
    <mergeCell ref="E110:F110"/>
    <mergeCell ref="G110:G112"/>
    <mergeCell ref="A108:F108"/>
    <mergeCell ref="E123:E124"/>
    <mergeCell ref="F123:F124"/>
    <mergeCell ref="A119:F119"/>
    <mergeCell ref="I110:I112"/>
    <mergeCell ref="B113:B114"/>
    <mergeCell ref="D113:D114"/>
    <mergeCell ref="E113:E114"/>
    <mergeCell ref="F113:F114"/>
    <mergeCell ref="G113:G114"/>
    <mergeCell ref="I113:I114"/>
    <mergeCell ref="A113:A11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07" max="16383" man="1"/>
    <brk id="18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180"/>
  <sheetViews>
    <sheetView view="pageBreakPreview" workbookViewId="0">
      <selection activeCell="E180" sqref="A1:E1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7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08.11.2023 № 90-ос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7"/>
    </row>
    <row r="3" spans="1:5" x14ac:dyDescent="0.25">
      <c r="A3" s="668" t="s">
        <v>126</v>
      </c>
      <c r="B3" s="668"/>
      <c r="C3" s="668"/>
      <c r="D3" s="668"/>
      <c r="E3" s="668"/>
    </row>
    <row r="4" spans="1:5" ht="12.6" customHeight="1" x14ac:dyDescent="0.25">
      <c r="A4" s="669" t="s">
        <v>150</v>
      </c>
      <c r="B4" s="669"/>
      <c r="C4" s="669"/>
      <c r="D4" s="669"/>
      <c r="E4" s="669"/>
    </row>
    <row r="5" spans="1:5" ht="45" x14ac:dyDescent="0.25">
      <c r="A5" s="122" t="s">
        <v>127</v>
      </c>
      <c r="B5" s="62" t="s">
        <v>128</v>
      </c>
      <c r="C5" s="122" t="s">
        <v>129</v>
      </c>
      <c r="D5" s="122" t="s">
        <v>130</v>
      </c>
      <c r="E5" s="122" t="s">
        <v>131</v>
      </c>
    </row>
    <row r="6" spans="1:5" x14ac:dyDescent="0.25">
      <c r="A6" s="123">
        <v>1</v>
      </c>
      <c r="B6" s="123">
        <v>2</v>
      </c>
      <c r="C6" s="123">
        <v>3</v>
      </c>
      <c r="D6" s="123">
        <v>4</v>
      </c>
      <c r="E6" s="123">
        <v>5</v>
      </c>
    </row>
    <row r="7" spans="1:5" ht="19.5" customHeight="1" x14ac:dyDescent="0.25">
      <c r="A7" s="748" t="s">
        <v>125</v>
      </c>
      <c r="B7" s="676" t="s">
        <v>154</v>
      </c>
      <c r="C7" s="670" t="s">
        <v>132</v>
      </c>
      <c r="D7" s="671"/>
      <c r="E7" s="672"/>
    </row>
    <row r="8" spans="1:5" ht="14.45" customHeight="1" x14ac:dyDescent="0.25">
      <c r="A8" s="748"/>
      <c r="B8" s="676"/>
      <c r="C8" s="673" t="s">
        <v>133</v>
      </c>
      <c r="D8" s="674"/>
      <c r="E8" s="675"/>
    </row>
    <row r="9" spans="1:5" ht="12" customHeight="1" x14ac:dyDescent="0.25">
      <c r="A9" s="748"/>
      <c r="B9" s="676"/>
      <c r="C9" s="102" t="s">
        <v>140</v>
      </c>
      <c r="D9" s="124" t="s">
        <v>134</v>
      </c>
      <c r="E9" s="215">
        <f>'таланты+инициативы0,2714'!D25</f>
        <v>1.5198399999999999</v>
      </c>
    </row>
    <row r="10" spans="1:5" ht="12" customHeight="1" x14ac:dyDescent="0.25">
      <c r="A10" s="748"/>
      <c r="B10" s="676"/>
      <c r="C10" s="102" t="s">
        <v>93</v>
      </c>
      <c r="D10" s="125" t="s">
        <v>134</v>
      </c>
      <c r="E10" s="215">
        <f>'таланты+инициативы0,2714'!D24</f>
        <v>0.27139999999999997</v>
      </c>
    </row>
    <row r="11" spans="1:5" ht="12" customHeight="1" x14ac:dyDescent="0.25">
      <c r="A11" s="748"/>
      <c r="B11" s="676"/>
      <c r="C11" s="661" t="s">
        <v>144</v>
      </c>
      <c r="D11" s="662"/>
      <c r="E11" s="663"/>
    </row>
    <row r="12" spans="1:5" ht="15.75" customHeight="1" x14ac:dyDescent="0.25">
      <c r="A12" s="748"/>
      <c r="B12" s="676"/>
      <c r="C12" s="112" t="s">
        <v>289</v>
      </c>
      <c r="D12" s="94" t="s">
        <v>39</v>
      </c>
      <c r="E12" s="214">
        <f>'таланты+инициативы0,2714'!E48</f>
        <v>0.27139999999999997</v>
      </c>
    </row>
    <row r="13" spans="1:5" ht="12" customHeight="1" x14ac:dyDescent="0.25">
      <c r="A13" s="748"/>
      <c r="B13" s="676"/>
      <c r="C13" s="112" t="s">
        <v>290</v>
      </c>
      <c r="D13" s="94" t="s">
        <v>39</v>
      </c>
      <c r="E13" s="214">
        <f>'таланты+инициативы0,2714'!E49</f>
        <v>0.27139999999999997</v>
      </c>
    </row>
    <row r="14" spans="1:5" ht="13.5" customHeight="1" x14ac:dyDescent="0.25">
      <c r="A14" s="748"/>
      <c r="B14" s="676"/>
      <c r="C14" s="112" t="s">
        <v>291</v>
      </c>
      <c r="D14" s="94" t="s">
        <v>39</v>
      </c>
      <c r="E14" s="214">
        <f>'таланты+инициативы0,2714'!E50</f>
        <v>0.27139999999999997</v>
      </c>
    </row>
    <row r="15" spans="1:5" ht="22.9" customHeight="1" x14ac:dyDescent="0.25">
      <c r="A15" s="748"/>
      <c r="B15" s="676"/>
      <c r="C15" s="664" t="s">
        <v>145</v>
      </c>
      <c r="D15" s="665"/>
      <c r="E15" s="666"/>
    </row>
    <row r="16" spans="1:5" ht="18.75" customHeight="1" x14ac:dyDescent="0.25">
      <c r="A16" s="748"/>
      <c r="B16" s="676"/>
      <c r="C16" s="120" t="str">
        <f>'таланты+инициативы0,2714'!A58</f>
        <v>Участие подростков Северо-Енисейского района в ТИМ "Юниор"</v>
      </c>
      <c r="D16" s="325">
        <f>'таланты+инициативы0,2714'!D58</f>
        <v>0</v>
      </c>
      <c r="E16" s="86">
        <f>'таланты+инициативы0,2714'!E58</f>
        <v>0</v>
      </c>
    </row>
    <row r="17" spans="1:5" ht="12" customHeight="1" x14ac:dyDescent="0.25">
      <c r="A17" s="748"/>
      <c r="B17" s="676"/>
      <c r="C17" s="120" t="str">
        <f>'таланты+инициативы0,2714'!A59</f>
        <v>Суточные подростки</v>
      </c>
      <c r="D17" s="325" t="str">
        <f>'таланты+инициативы0,2714'!D59</f>
        <v>сут</v>
      </c>
      <c r="E17" s="86">
        <f>'таланты+инициативы0,2714'!E59</f>
        <v>6</v>
      </c>
    </row>
    <row r="18" spans="1:5" ht="12" customHeight="1" x14ac:dyDescent="0.25">
      <c r="A18" s="748"/>
      <c r="B18" s="676"/>
      <c r="C18" s="120" t="str">
        <f>'таланты+инициативы0,2714'!A60</f>
        <v>Баллончик CO₂ для пневматики Panzer, 12 г</v>
      </c>
      <c r="D18" s="325" t="str">
        <f>'таланты+инициативы0,2714'!D60</f>
        <v>шт</v>
      </c>
      <c r="E18" s="86">
        <f>'таланты+инициативы0,2714'!E60</f>
        <v>90</v>
      </c>
    </row>
    <row r="19" spans="1:5" ht="12" customHeight="1" x14ac:dyDescent="0.25">
      <c r="A19" s="748"/>
      <c r="B19" s="676"/>
      <c r="C19" s="120" t="str">
        <f>'таланты+инициативы0,2714'!A61</f>
        <v>Пули Crosman Premier Super Match 4,5 мм, 0,51 г (500 штук)</v>
      </c>
      <c r="D19" s="325" t="str">
        <f>'таланты+инициативы0,2714'!D61</f>
        <v>шт</v>
      </c>
      <c r="E19" s="86">
        <f>'таланты+инициативы0,2714'!E61</f>
        <v>1</v>
      </c>
    </row>
    <row r="20" spans="1:5" ht="12" customHeight="1" x14ac:dyDescent="0.25">
      <c r="A20" s="748"/>
      <c r="B20" s="676"/>
      <c r="C20" s="120" t="str">
        <f>'таланты+инициативы0,2714'!A62</f>
        <v>Пули H&amp;N Match Light 4,5 мм, 0,51 г (500 штук)</v>
      </c>
      <c r="D20" s="325" t="str">
        <f>'таланты+инициативы0,2714'!D62</f>
        <v>шт</v>
      </c>
      <c r="E20" s="86">
        <f>'таланты+инициативы0,2714'!E62</f>
        <v>1</v>
      </c>
    </row>
    <row r="21" spans="1:5" ht="12" customHeight="1" x14ac:dyDescent="0.25">
      <c r="A21" s="748"/>
      <c r="B21" s="676"/>
      <c r="C21" s="120" t="str">
        <f>'таланты+инициативы0,2714'!A63</f>
        <v>Пули Gamo Pro Match 4,5 мм, 0,49 г (500 штук)</v>
      </c>
      <c r="D21" s="325" t="str">
        <f>'таланты+инициативы0,2714'!D63</f>
        <v>шт</v>
      </c>
      <c r="E21" s="86">
        <f>'таланты+инициативы0,2714'!E63</f>
        <v>3</v>
      </c>
    </row>
    <row r="22" spans="1:5" ht="12" customHeight="1" x14ac:dyDescent="0.25">
      <c r="A22" s="748"/>
      <c r="B22" s="676"/>
      <c r="C22" s="120" t="str">
        <f>'таланты+инициативы0,2714'!A64</f>
        <v>Шарики BB для пневматики «Выстрел» 4,5 мм (1500 штук)</v>
      </c>
      <c r="D22" s="325" t="str">
        <f>'таланты+инициативы0,2714'!D64</f>
        <v>шт</v>
      </c>
      <c r="E22" s="86">
        <f>'таланты+инициативы0,2714'!E64</f>
        <v>6</v>
      </c>
    </row>
    <row r="23" spans="1:5" ht="12" customHeight="1" x14ac:dyDescent="0.25">
      <c r="A23" s="748"/>
      <c r="B23" s="676"/>
      <c r="C23" s="120" t="str">
        <f>'таланты+инициативы0,2714'!A65</f>
        <v>Пули H&amp;N Baracuda 6,35 мм, 2,0 г (150 штук)</v>
      </c>
      <c r="D23" s="325" t="str">
        <f>'таланты+инициативы0,2714'!D65</f>
        <v>шт</v>
      </c>
      <c r="E23" s="86">
        <f>'таланты+инициативы0,2714'!E65</f>
        <v>1</v>
      </c>
    </row>
    <row r="24" spans="1:5" ht="12" customHeight="1" x14ac:dyDescent="0.25">
      <c r="A24" s="748"/>
      <c r="B24" s="676"/>
      <c r="C24" s="120" t="str">
        <f>'таланты+инициативы0,2714'!A66</f>
        <v>Пули H&amp;N Grizzly 6,35 мм, 2,02 г (150 штук)</v>
      </c>
      <c r="D24" s="325" t="str">
        <f>'таланты+инициативы0,2714'!D66</f>
        <v>шт</v>
      </c>
      <c r="E24" s="86">
        <f>'таланты+инициативы0,2714'!E66</f>
        <v>1</v>
      </c>
    </row>
    <row r="25" spans="1:5" ht="12" customHeight="1" x14ac:dyDescent="0.25">
      <c r="A25" s="748"/>
      <c r="B25" s="676"/>
      <c r="C25" s="120" t="str">
        <f>'таланты+инициативы0,2714'!A67</f>
        <v>Пули H&amp;N Silver Point 6,35 мм, 1,58 г (150 штук)</v>
      </c>
      <c r="D25" s="325" t="str">
        <f>'таланты+инициативы0,2714'!D67</f>
        <v>шт</v>
      </c>
      <c r="E25" s="86">
        <f>'таланты+инициативы0,2714'!E67</f>
        <v>1</v>
      </c>
    </row>
    <row r="26" spans="1:5" ht="12" customHeight="1" x14ac:dyDescent="0.25">
      <c r="A26" s="748"/>
      <c r="B26" s="676"/>
      <c r="C26" s="120" t="str">
        <f>'таланты+инициативы0,2714'!A68</f>
        <v>Стрела лучная микс карбон Centershot Crash 550, Parabolic 3"</v>
      </c>
      <c r="D26" s="325" t="str">
        <f>'таланты+инициативы0,2714'!D68</f>
        <v>шт</v>
      </c>
      <c r="E26" s="86">
        <f>'таланты+инициативы0,2714'!E68</f>
        <v>20</v>
      </c>
    </row>
    <row r="27" spans="1:5" ht="12" customHeight="1" x14ac:dyDescent="0.25">
      <c r="A27" s="748"/>
      <c r="B27" s="676"/>
      <c r="C27" s="120" t="str">
        <f>'таланты+инициативы0,2714'!A69</f>
        <v>Стрела лучная карбоновая спорт. Centershot Flash 500, Shield 2"</v>
      </c>
      <c r="D27" s="325" t="str">
        <f>'таланты+инициативы0,2714'!D69</f>
        <v>шт</v>
      </c>
      <c r="E27" s="86">
        <f>'таланты+инициативы0,2714'!E69</f>
        <v>20</v>
      </c>
    </row>
    <row r="28" spans="1:5" ht="12" customHeight="1" x14ac:dyDescent="0.25">
      <c r="A28" s="748"/>
      <c r="B28" s="676"/>
      <c r="C28" s="120" t="str">
        <f>'таланты+инициативы0,2714'!A70</f>
        <v>Наконечник для ArcheryTag (арчеритаг) гуманизатор №2 для лучных стрел</v>
      </c>
      <c r="D28" s="325" t="str">
        <f>'таланты+инициативы0,2714'!D70</f>
        <v>шт</v>
      </c>
      <c r="E28" s="86">
        <f>'таланты+инициативы0,2714'!E70</f>
        <v>10</v>
      </c>
    </row>
    <row r="29" spans="1:5" ht="12" customHeight="1" x14ac:dyDescent="0.25">
      <c r="A29" s="748"/>
      <c r="B29" s="676"/>
      <c r="C29" s="120" t="str">
        <f>'таланты+инициативы0,2714'!A71</f>
        <v>Наконечник гуманизатор для лучных стрел</v>
      </c>
      <c r="D29" s="325" t="str">
        <f>'таланты+инициативы0,2714'!D71</f>
        <v>шт</v>
      </c>
      <c r="E29" s="86">
        <f>'таланты+инициативы0,2714'!E71</f>
        <v>2</v>
      </c>
    </row>
    <row r="30" spans="1:5" ht="12" customHeight="1" x14ac:dyDescent="0.25">
      <c r="A30" s="748"/>
      <c r="B30" s="676"/>
      <c r="C30" s="120" t="str">
        <f>'таланты+инициативы0,2714'!A72</f>
        <v>Флаг бумажный двусторонний к премии Главы</v>
      </c>
      <c r="D30" s="325" t="str">
        <f>'таланты+инициативы0,2714'!D72</f>
        <v>шт</v>
      </c>
      <c r="E30" s="86">
        <f>'таланты+инициативы0,2714'!E72</f>
        <v>200</v>
      </c>
    </row>
    <row r="31" spans="1:5" ht="12" customHeight="1" x14ac:dyDescent="0.25">
      <c r="A31" s="748"/>
      <c r="B31" s="676"/>
      <c r="C31" s="120" t="str">
        <f>'таланты+инициативы0,2714'!A73</f>
        <v>Хэштэг Премия главы</v>
      </c>
      <c r="D31" s="325" t="str">
        <f>'таланты+инициативы0,2714'!D73</f>
        <v>шт</v>
      </c>
      <c r="E31" s="86">
        <f>'таланты+инициативы0,2714'!E73</f>
        <v>1</v>
      </c>
    </row>
    <row r="32" spans="1:5" ht="12" customHeight="1" x14ac:dyDescent="0.25">
      <c r="A32" s="748"/>
      <c r="B32" s="676"/>
      <c r="C32" s="120" t="str">
        <f>'таланты+инициативы0,2714'!A74</f>
        <v>Хэштэг День молодежи 2023</v>
      </c>
      <c r="D32" s="325" t="str">
        <f>'таланты+инициативы0,2714'!D74</f>
        <v>шт</v>
      </c>
      <c r="E32" s="86">
        <f>'таланты+инициативы0,2714'!E74</f>
        <v>1</v>
      </c>
    </row>
    <row r="33" spans="1:5" ht="12" customHeight="1" x14ac:dyDescent="0.25">
      <c r="A33" s="748"/>
      <c r="B33" s="676"/>
      <c r="C33" s="120" t="str">
        <f>'таланты+инициативы0,2714'!A75</f>
        <v>Хэштэг вперед в будущее 2023</v>
      </c>
      <c r="D33" s="325" t="str">
        <f>'таланты+инициативы0,2714'!D75</f>
        <v>шт</v>
      </c>
      <c r="E33" s="86">
        <f>'таланты+инициативы0,2714'!E75</f>
        <v>1</v>
      </c>
    </row>
    <row r="34" spans="1:5" ht="12" customHeight="1" x14ac:dyDescent="0.25">
      <c r="A34" s="748"/>
      <c r="B34" s="676"/>
      <c r="C34" s="120" t="str">
        <f>'таланты+инициативы0,2714'!A76</f>
        <v>Баннер фотозона 2*3</v>
      </c>
      <c r="D34" s="325" t="str">
        <f>'таланты+инициативы0,2714'!D76</f>
        <v>шт</v>
      </c>
      <c r="E34" s="86">
        <f>'таланты+инициативы0,2714'!E76</f>
        <v>1</v>
      </c>
    </row>
    <row r="35" spans="1:5" ht="12" customHeight="1" x14ac:dyDescent="0.25">
      <c r="A35" s="748"/>
      <c r="B35" s="676"/>
      <c r="C35" s="120" t="str">
        <f>'таланты+инициативы0,2714'!A77</f>
        <v>Баннер фотозона 2*2</v>
      </c>
      <c r="D35" s="325" t="str">
        <f>'таланты+инициативы0,2714'!D77</f>
        <v>шт</v>
      </c>
      <c r="E35" s="86">
        <f>'таланты+инициативы0,2714'!E77</f>
        <v>2</v>
      </c>
    </row>
    <row r="36" spans="1:5" ht="12" customHeight="1" x14ac:dyDescent="0.25">
      <c r="A36" s="748"/>
      <c r="B36" s="676"/>
      <c r="C36" s="120" t="str">
        <f>'таланты+инициативы0,2714'!A78</f>
        <v>спилс-карта Северо-Енисейский район</v>
      </c>
      <c r="D36" s="325" t="str">
        <f>'таланты+инициативы0,2714'!D78</f>
        <v>шт</v>
      </c>
      <c r="E36" s="86">
        <f>'таланты+инициативы0,2714'!E78</f>
        <v>1</v>
      </c>
    </row>
    <row r="37" spans="1:5" ht="12" customHeight="1" x14ac:dyDescent="0.25">
      <c r="A37" s="748"/>
      <c r="B37" s="676"/>
      <c r="C37" s="120" t="str">
        <f>'таланты+инициативы0,2714'!A79</f>
        <v>пазл напольный Северо-Енисейский район</v>
      </c>
      <c r="D37" s="325" t="str">
        <f>'таланты+инициативы0,2714'!D79</f>
        <v>шт</v>
      </c>
      <c r="E37" s="86">
        <f>'таланты+инициативы0,2714'!E79</f>
        <v>1</v>
      </c>
    </row>
    <row r="38" spans="1:5" ht="12" customHeight="1" x14ac:dyDescent="0.25">
      <c r="A38" s="748"/>
      <c r="B38" s="676"/>
      <c r="C38" s="120" t="str">
        <f>'таланты+инициативы0,2714'!A80</f>
        <v>статуэтка наградная премия Глава района</v>
      </c>
      <c r="D38" s="325" t="str">
        <f>'таланты+инициативы0,2714'!D80</f>
        <v>шт</v>
      </c>
      <c r="E38" s="86">
        <f>'таланты+инициативы0,2714'!E80</f>
        <v>12</v>
      </c>
    </row>
    <row r="39" spans="1:5" ht="12" customHeight="1" x14ac:dyDescent="0.25">
      <c r="A39" s="748"/>
      <c r="B39" s="676"/>
      <c r="C39" s="679" t="s">
        <v>135</v>
      </c>
      <c r="D39" s="680"/>
      <c r="E39" s="681"/>
    </row>
    <row r="40" spans="1:5" ht="12" customHeight="1" x14ac:dyDescent="0.25">
      <c r="A40" s="748"/>
      <c r="B40" s="676"/>
      <c r="C40" s="679" t="s">
        <v>136</v>
      </c>
      <c r="D40" s="680"/>
      <c r="E40" s="681"/>
    </row>
    <row r="41" spans="1:5" ht="12" customHeight="1" x14ac:dyDescent="0.25">
      <c r="A41" s="748"/>
      <c r="B41" s="676"/>
      <c r="C41" s="126" t="str">
        <f>'натур показатели патриотика'!C51</f>
        <v>Теплоэнергия</v>
      </c>
      <c r="D41" s="127" t="str">
        <f>'натур показатели патриотика'!D51</f>
        <v>Гкал</v>
      </c>
      <c r="E41" s="128">
        <f>'таланты+инициативы0,2714'!D122</f>
        <v>14.926999999999998</v>
      </c>
    </row>
    <row r="42" spans="1:5" ht="12" customHeight="1" x14ac:dyDescent="0.25">
      <c r="A42" s="748"/>
      <c r="B42" s="676"/>
      <c r="C42" s="126" t="str">
        <f>'натур показатели патриотика'!C52</f>
        <v xml:space="preserve">Водоснабжение </v>
      </c>
      <c r="D42" s="127" t="str">
        <f>'натур показатели патриотика'!D52</f>
        <v>м2</v>
      </c>
      <c r="E42" s="128">
        <f>'таланты+инициативы0,2714'!D123</f>
        <v>28.849819999999998</v>
      </c>
    </row>
    <row r="43" spans="1:5" ht="12" customHeight="1" x14ac:dyDescent="0.25">
      <c r="A43" s="748"/>
      <c r="B43" s="676"/>
      <c r="C43" s="126" t="str">
        <f>'натур показатели патриотика'!C53</f>
        <v>Водоотведение (септик)</v>
      </c>
      <c r="D43" s="127" t="str">
        <f>'натур показатели патриотика'!D53</f>
        <v>м3</v>
      </c>
      <c r="E43" s="128">
        <f>'таланты+инициативы0,2714'!D124</f>
        <v>0.81419999999999992</v>
      </c>
    </row>
    <row r="44" spans="1:5" ht="12" customHeight="1" x14ac:dyDescent="0.25">
      <c r="A44" s="748"/>
      <c r="B44" s="676"/>
      <c r="C44" s="126" t="str">
        <f>'натур показатели патриотика'!C54</f>
        <v>Электроэнергия</v>
      </c>
      <c r="D44" s="127" t="str">
        <f>'натур показатели патриотика'!D54</f>
        <v>МВт час.</v>
      </c>
      <c r="E44" s="128">
        <f>'таланты+инициативы0,2714'!D125</f>
        <v>1.6283999999999998</v>
      </c>
    </row>
    <row r="45" spans="1:5" ht="12" customHeight="1" x14ac:dyDescent="0.25">
      <c r="A45" s="748"/>
      <c r="B45" s="676"/>
      <c r="C45" s="126" t="str">
        <f>'натур показатели патриотика'!C55</f>
        <v>ТКО</v>
      </c>
      <c r="D45" s="127" t="str">
        <f>'натур показатели патриотика'!D55</f>
        <v>договор</v>
      </c>
      <c r="E45" s="128">
        <f>'таланты+инициативы0,2714'!D126</f>
        <v>2.1711999999999998</v>
      </c>
    </row>
    <row r="46" spans="1:5" ht="12" customHeight="1" x14ac:dyDescent="0.25">
      <c r="A46" s="748"/>
      <c r="B46" s="676"/>
      <c r="C46" s="126" t="str">
        <f>'натур показатели патриотика'!C56</f>
        <v>Электроэнергия (резерв)</v>
      </c>
      <c r="D46" s="127" t="str">
        <f>'натур показатели патриотика'!D56</f>
        <v>МВт час.</v>
      </c>
      <c r="E46" s="128">
        <f>'таланты+инициативы0,2714'!D127</f>
        <v>1.3569999999999998</v>
      </c>
    </row>
    <row r="47" spans="1:5" ht="12" customHeight="1" x14ac:dyDescent="0.25">
      <c r="A47" s="748"/>
      <c r="B47" s="676"/>
      <c r="C47" s="685" t="s">
        <v>137</v>
      </c>
      <c r="D47" s="686"/>
      <c r="E47" s="687"/>
    </row>
    <row r="48" spans="1:5" ht="12" customHeight="1" x14ac:dyDescent="0.25">
      <c r="A48" s="748"/>
      <c r="B48" s="676"/>
      <c r="C48" s="234" t="str">
        <f>'таланты+инициативы0,2714'!A169</f>
        <v xml:space="preserve">Уборка территории от снега </v>
      </c>
      <c r="D48" s="127" t="s">
        <v>22</v>
      </c>
      <c r="E48" s="235">
        <f>'таланты+инициативы0,2714'!D169</f>
        <v>0.54279999999999995</v>
      </c>
    </row>
    <row r="49" spans="1:5" ht="12" customHeight="1" x14ac:dyDescent="0.25">
      <c r="A49" s="748"/>
      <c r="B49" s="676"/>
      <c r="C49" s="234" t="str">
        <f>'таланты+инициативы0,2714'!A170</f>
        <v>Профилактическая дезинфекция</v>
      </c>
      <c r="D49" s="127" t="s">
        <v>22</v>
      </c>
      <c r="E49" s="235">
        <f>'таланты+инициативы0,2714'!D170</f>
        <v>0.27139999999999997</v>
      </c>
    </row>
    <row r="50" spans="1:5" ht="12" customHeight="1" x14ac:dyDescent="0.25">
      <c r="A50" s="748"/>
      <c r="B50" s="676"/>
      <c r="C50" s="234" t="e">
        <f>'таланты+инициативы0,2714'!#REF!</f>
        <v>#REF!</v>
      </c>
      <c r="D50" s="127" t="s">
        <v>22</v>
      </c>
      <c r="E50" s="235" t="e">
        <f>'таланты+инициативы0,2714'!#REF!</f>
        <v>#REF!</v>
      </c>
    </row>
    <row r="51" spans="1:5" ht="12" customHeight="1" x14ac:dyDescent="0.25">
      <c r="A51" s="748"/>
      <c r="B51" s="676"/>
      <c r="C51" s="234" t="str">
        <f>'таланты+инициативы0,2714'!A171</f>
        <v>Комплексное обслуживание системы тепловодоснабжения и конструктивных элементов здания</v>
      </c>
      <c r="D51" s="127" t="s">
        <v>22</v>
      </c>
      <c r="E51" s="235">
        <f>'таланты+инициативы0,2714'!D171</f>
        <v>0.27139999999999997</v>
      </c>
    </row>
    <row r="52" spans="1:5" ht="12" customHeight="1" x14ac:dyDescent="0.25">
      <c r="A52" s="748"/>
      <c r="B52" s="676"/>
      <c r="C52" s="234" t="str">
        <f>'таланты+инициативы0,2714'!A172</f>
        <v>Договор осмотр технического состояния автомобиля</v>
      </c>
      <c r="D52" s="127" t="s">
        <v>22</v>
      </c>
      <c r="E52" s="235">
        <f>'таланты+инициативы0,2714'!D172</f>
        <v>56.993999999999993</v>
      </c>
    </row>
    <row r="53" spans="1:5" ht="12" customHeight="1" x14ac:dyDescent="0.25">
      <c r="A53" s="748"/>
      <c r="B53" s="676"/>
      <c r="C53" s="234" t="str">
        <f>'таланты+инициативы0,2714'!A173</f>
        <v>Техническое обслуживание систем пожарной сигнализации</v>
      </c>
      <c r="D53" s="127" t="s">
        <v>22</v>
      </c>
      <c r="E53" s="235">
        <f>'таланты+инициативы0,2714'!D173</f>
        <v>3.2567999999999997</v>
      </c>
    </row>
    <row r="54" spans="1:5" ht="14.45" customHeight="1" x14ac:dyDescent="0.25">
      <c r="A54" s="748"/>
      <c r="B54" s="676"/>
      <c r="C54" s="234" t="str">
        <f>'таланты+инициативы0,2714'!A174</f>
        <v>ремонт оборудования</v>
      </c>
      <c r="D54" s="127" t="s">
        <v>22</v>
      </c>
      <c r="E54" s="235">
        <f>'таланты+инициативы0,2714'!D174</f>
        <v>0</v>
      </c>
    </row>
    <row r="55" spans="1:5" ht="14.45" customHeight="1" x14ac:dyDescent="0.25">
      <c r="A55" s="748"/>
      <c r="B55" s="676"/>
      <c r="C55" s="234" t="str">
        <f>'таланты+инициативы0,2714'!A175</f>
        <v>Возмещение мед осмотра (112/212)</v>
      </c>
      <c r="D55" s="127" t="s">
        <v>22</v>
      </c>
      <c r="E55" s="235">
        <f>'таланты+инициативы0,2714'!D175</f>
        <v>0.81419999999999992</v>
      </c>
    </row>
    <row r="56" spans="1:5" ht="14.45" customHeight="1" x14ac:dyDescent="0.25">
      <c r="A56" s="748"/>
      <c r="B56" s="676"/>
      <c r="C56" s="234" t="str">
        <f>'таланты+инициативы0,2714'!A176</f>
        <v>Услуги СЕМИС подписка</v>
      </c>
      <c r="D56" s="127" t="s">
        <v>22</v>
      </c>
      <c r="E56" s="235">
        <f>'таланты+инициативы0,2714'!D176</f>
        <v>0.27139999999999997</v>
      </c>
    </row>
    <row r="57" spans="1:5" ht="14.45" customHeight="1" x14ac:dyDescent="0.25">
      <c r="A57" s="748"/>
      <c r="B57" s="676"/>
      <c r="C57" s="234" t="str">
        <f>'таланты+инициативы0,2714'!A177</f>
        <v>Предрейсовое медицинское обследование 200дней*85руб</v>
      </c>
      <c r="D57" s="127" t="s">
        <v>22</v>
      </c>
      <c r="E57" s="235">
        <f>'таланты+инициативы0,2714'!D177</f>
        <v>0</v>
      </c>
    </row>
    <row r="58" spans="1:5" ht="14.45" customHeight="1" x14ac:dyDescent="0.25">
      <c r="A58" s="748"/>
      <c r="B58" s="676"/>
      <c r="C58" s="234" t="str">
        <f>'таланты+инициативы0,2714'!A178</f>
        <v xml:space="preserve">Услуги охраны  </v>
      </c>
      <c r="D58" s="127" t="s">
        <v>22</v>
      </c>
      <c r="E58" s="235">
        <f>'таланты+инициативы0,2714'!D178</f>
        <v>3.2567999999999997</v>
      </c>
    </row>
    <row r="59" spans="1:5" ht="21" customHeight="1" x14ac:dyDescent="0.25">
      <c r="A59" s="748"/>
      <c r="B59" s="676"/>
      <c r="C59" s="234" t="str">
        <f>'таланты+инициативы0,2714'!A179</f>
        <v>Услуги мониторинга пожарной сигнализации</v>
      </c>
      <c r="D59" s="127" t="s">
        <v>22</v>
      </c>
      <c r="E59" s="235">
        <f>'таланты+инициативы0,2714'!D179</f>
        <v>3.2567999999999997</v>
      </c>
    </row>
    <row r="60" spans="1:5" ht="16.5" customHeight="1" x14ac:dyDescent="0.25">
      <c r="A60" s="748"/>
      <c r="B60" s="676"/>
      <c r="C60" s="234" t="str">
        <f>'таланты+инициативы0,2714'!A180</f>
        <v>Обслуживание систем охранных средств сигнализации (тревожная кнопка)</v>
      </c>
      <c r="D60" s="127" t="s">
        <v>22</v>
      </c>
      <c r="E60" s="235">
        <f>'таланты+инициативы0,2714'!D180</f>
        <v>3.2567999999999997</v>
      </c>
    </row>
    <row r="61" spans="1:5" ht="15" customHeight="1" x14ac:dyDescent="0.25">
      <c r="A61" s="748"/>
      <c r="B61" s="676"/>
      <c r="C61" s="234" t="str">
        <f>'таланты+инициативы0,2714'!A182</f>
        <v>Страховая премия по полису ОСАГО за УАЗ</v>
      </c>
      <c r="D61" s="127" t="s">
        <v>22</v>
      </c>
      <c r="E61" s="235">
        <f>'таланты+инициативы0,2714'!D182</f>
        <v>0</v>
      </c>
    </row>
    <row r="62" spans="1:5" ht="15" customHeight="1" x14ac:dyDescent="0.25">
      <c r="A62" s="748"/>
      <c r="B62" s="676"/>
      <c r="C62" s="234" t="str">
        <f>'таланты+инициативы0,2714'!A183</f>
        <v>Приобретение программного обеспечения</v>
      </c>
      <c r="D62" s="127" t="s">
        <v>22</v>
      </c>
      <c r="E62" s="235">
        <f>'таланты+инициативы0,2714'!D183</f>
        <v>0.27139999999999997</v>
      </c>
    </row>
    <row r="63" spans="1:5" ht="15" customHeight="1" x14ac:dyDescent="0.25">
      <c r="A63" s="748"/>
      <c r="B63" s="676"/>
      <c r="C63" s="234" t="str">
        <f>'таланты+инициативы0,2714'!A184</f>
        <v>Оплата пени, штрафов (853/291)</v>
      </c>
      <c r="D63" s="127" t="s">
        <v>22</v>
      </c>
      <c r="E63" s="235">
        <f>'таланты+инициативы0,2714'!D184</f>
        <v>1.3569999999999998</v>
      </c>
    </row>
    <row r="64" spans="1:5" ht="15" hidden="1" customHeight="1" x14ac:dyDescent="0.25">
      <c r="A64" s="748"/>
      <c r="B64" s="676"/>
      <c r="C64" s="234" t="e">
        <f>'таланты+инициативы0,2714'!#REF!</f>
        <v>#REF!</v>
      </c>
      <c r="D64" s="127" t="s">
        <v>22</v>
      </c>
      <c r="E64" s="235" t="e">
        <f>'таланты+инициативы0,2714'!#REF!</f>
        <v>#REF!</v>
      </c>
    </row>
    <row r="65" spans="1:5" ht="15" hidden="1" customHeight="1" x14ac:dyDescent="0.25">
      <c r="A65" s="748"/>
      <c r="B65" s="676"/>
      <c r="C65" s="234" t="e">
        <f>'таланты+инициативы0,2714'!#REF!</f>
        <v>#REF!</v>
      </c>
      <c r="D65" s="127" t="s">
        <v>22</v>
      </c>
      <c r="E65" s="235" t="e">
        <f>'таланты+инициативы0,2714'!#REF!</f>
        <v>#REF!</v>
      </c>
    </row>
    <row r="66" spans="1:5" ht="15" hidden="1" customHeight="1" x14ac:dyDescent="0.25">
      <c r="A66" s="748"/>
      <c r="B66" s="676"/>
      <c r="C66" s="234" t="e">
        <f>'таланты+инициативы0,2714'!#REF!</f>
        <v>#REF!</v>
      </c>
      <c r="D66" s="127" t="s">
        <v>22</v>
      </c>
      <c r="E66" s="235" t="e">
        <f>'таланты+инициативы0,2714'!#REF!</f>
        <v>#REF!</v>
      </c>
    </row>
    <row r="67" spans="1:5" ht="15" hidden="1" customHeight="1" x14ac:dyDescent="0.25">
      <c r="A67" s="748"/>
      <c r="B67" s="676"/>
      <c r="C67" s="234" t="e">
        <f>'таланты+инициативы0,2714'!#REF!</f>
        <v>#REF!</v>
      </c>
      <c r="D67" s="127" t="s">
        <v>22</v>
      </c>
      <c r="E67" s="235" t="e">
        <f>'таланты+инициативы0,2714'!#REF!</f>
        <v>#REF!</v>
      </c>
    </row>
    <row r="68" spans="1:5" ht="15" hidden="1" customHeight="1" x14ac:dyDescent="0.25">
      <c r="A68" s="748"/>
      <c r="B68" s="676"/>
      <c r="C68" s="234" t="e">
        <f>'таланты+инициативы0,2714'!#REF!</f>
        <v>#REF!</v>
      </c>
      <c r="D68" s="127" t="s">
        <v>22</v>
      </c>
      <c r="E68" s="235" t="e">
        <f>'таланты+инициативы0,2714'!#REF!</f>
        <v>#REF!</v>
      </c>
    </row>
    <row r="69" spans="1:5" ht="15" hidden="1" customHeight="1" x14ac:dyDescent="0.25">
      <c r="A69" s="748"/>
      <c r="B69" s="676"/>
      <c r="C69" s="234" t="e">
        <f>'таланты+инициативы0,2714'!#REF!</f>
        <v>#REF!</v>
      </c>
      <c r="D69" s="127" t="s">
        <v>22</v>
      </c>
      <c r="E69" s="235" t="e">
        <f>'таланты+инициативы0,2714'!#REF!</f>
        <v>#REF!</v>
      </c>
    </row>
    <row r="70" spans="1:5" ht="15" hidden="1" customHeight="1" x14ac:dyDescent="0.25">
      <c r="A70" s="748"/>
      <c r="B70" s="676"/>
      <c r="C70" s="234" t="e">
        <f>'таланты+инициативы0,2714'!#REF!</f>
        <v>#REF!</v>
      </c>
      <c r="D70" s="127" t="s">
        <v>22</v>
      </c>
      <c r="E70" s="235" t="e">
        <f>'таланты+инициативы0,2714'!#REF!</f>
        <v>#REF!</v>
      </c>
    </row>
    <row r="71" spans="1:5" ht="15" hidden="1" customHeight="1" x14ac:dyDescent="0.25">
      <c r="A71" s="748"/>
      <c r="B71" s="676"/>
      <c r="C71" s="234" t="e">
        <f>'таланты+инициативы0,2714'!#REF!</f>
        <v>#REF!</v>
      </c>
      <c r="D71" s="127" t="s">
        <v>22</v>
      </c>
      <c r="E71" s="235" t="e">
        <f>'таланты+инициативы0,2714'!#REF!</f>
        <v>#REF!</v>
      </c>
    </row>
    <row r="72" spans="1:5" ht="15" hidden="1" customHeight="1" x14ac:dyDescent="0.25">
      <c r="A72" s="748"/>
      <c r="B72" s="676"/>
      <c r="C72" s="234" t="e">
        <f>'таланты+инициативы0,2714'!#REF!</f>
        <v>#REF!</v>
      </c>
      <c r="D72" s="127" t="s">
        <v>22</v>
      </c>
      <c r="E72" s="235" t="e">
        <f>'таланты+инициативы0,2714'!#REF!</f>
        <v>#REF!</v>
      </c>
    </row>
    <row r="73" spans="1:5" ht="15" hidden="1" customHeight="1" x14ac:dyDescent="0.25">
      <c r="A73" s="748"/>
      <c r="B73" s="676"/>
      <c r="C73" s="234" t="e">
        <f>'таланты+инициативы0,2714'!#REF!</f>
        <v>#REF!</v>
      </c>
      <c r="D73" s="127" t="s">
        <v>22</v>
      </c>
      <c r="E73" s="235" t="e">
        <f>'таланты+инициативы0,2714'!#REF!</f>
        <v>#REF!</v>
      </c>
    </row>
    <row r="74" spans="1:5" ht="15" hidden="1" customHeight="1" x14ac:dyDescent="0.25">
      <c r="A74" s="748"/>
      <c r="B74" s="676"/>
      <c r="C74" s="234" t="e">
        <f>'таланты+инициативы0,2714'!#REF!</f>
        <v>#REF!</v>
      </c>
      <c r="D74" s="127" t="s">
        <v>22</v>
      </c>
      <c r="E74" s="235" t="e">
        <f>'таланты+инициативы0,2714'!#REF!</f>
        <v>#REF!</v>
      </c>
    </row>
    <row r="75" spans="1:5" ht="15" hidden="1" customHeight="1" x14ac:dyDescent="0.25">
      <c r="A75" s="748"/>
      <c r="B75" s="676"/>
      <c r="C75" s="234" t="e">
        <f>'таланты+инициативы0,2714'!#REF!</f>
        <v>#REF!</v>
      </c>
      <c r="D75" s="127" t="s">
        <v>22</v>
      </c>
      <c r="E75" s="235" t="e">
        <f>'таланты+инициативы0,2714'!#REF!</f>
        <v>#REF!</v>
      </c>
    </row>
    <row r="76" spans="1:5" ht="15" hidden="1" customHeight="1" x14ac:dyDescent="0.25">
      <c r="A76" s="748"/>
      <c r="B76" s="676"/>
      <c r="C76" s="234" t="e">
        <f>'таланты+инициативы0,2714'!#REF!</f>
        <v>#REF!</v>
      </c>
      <c r="D76" s="127" t="s">
        <v>22</v>
      </c>
      <c r="E76" s="235" t="e">
        <f>'таланты+инициативы0,2714'!#REF!</f>
        <v>#REF!</v>
      </c>
    </row>
    <row r="77" spans="1:5" ht="15" customHeight="1" x14ac:dyDescent="0.25">
      <c r="A77" s="748"/>
      <c r="B77" s="676"/>
      <c r="C77" s="682" t="s">
        <v>138</v>
      </c>
      <c r="D77" s="683"/>
      <c r="E77" s="684"/>
    </row>
    <row r="78" spans="1:5" ht="15" customHeight="1" x14ac:dyDescent="0.25">
      <c r="A78" s="748"/>
      <c r="B78" s="676"/>
      <c r="C78" s="130" t="str">
        <f>'инновации+добровольчество0,3643'!A132</f>
        <v>переговоры по району, мин</v>
      </c>
      <c r="D78" s="94" t="s">
        <v>38</v>
      </c>
      <c r="E78" s="216">
        <f>'таланты+инициативы0,2714'!D149</f>
        <v>70.355022000000005</v>
      </c>
    </row>
    <row r="79" spans="1:5" ht="15" customHeight="1" x14ac:dyDescent="0.25">
      <c r="A79" s="748"/>
      <c r="B79" s="676"/>
      <c r="C79" s="130" t="str">
        <f>'инновации+добровольчество0,3643'!A133</f>
        <v>Переговоры за пределами района,мин</v>
      </c>
      <c r="D79" s="94" t="s">
        <v>22</v>
      </c>
      <c r="E79" s="367">
        <f>'таланты+инициативы0,2714'!D150</f>
        <v>4.0709999999999997</v>
      </c>
    </row>
    <row r="80" spans="1:5" ht="15" customHeight="1" x14ac:dyDescent="0.25">
      <c r="A80" s="748"/>
      <c r="B80" s="676"/>
      <c r="C80" s="130" t="str">
        <f>'инновации+добровольчество0,3643'!A134</f>
        <v>Абоненская плата за услуги связи, номеров</v>
      </c>
      <c r="D80" s="94" t="s">
        <v>37</v>
      </c>
      <c r="E80" s="216">
        <f>'таланты+инициативы0,2714'!D151</f>
        <v>0.27139999999999997</v>
      </c>
    </row>
    <row r="81" spans="1:5" ht="15" customHeight="1" x14ac:dyDescent="0.25">
      <c r="A81" s="748"/>
      <c r="B81" s="676"/>
      <c r="C81" s="130" t="str">
        <f>'инновации+добровольчество0,3643'!A135</f>
        <v xml:space="preserve">Абоненская плата за услуги Интернет </v>
      </c>
      <c r="D81" s="94" t="s">
        <v>37</v>
      </c>
      <c r="E81" s="216">
        <f>'таланты+инициативы0,2714'!D152</f>
        <v>0.27139999999999997</v>
      </c>
    </row>
    <row r="82" spans="1:5" ht="15" customHeight="1" x14ac:dyDescent="0.25">
      <c r="A82" s="748"/>
      <c r="B82" s="676"/>
      <c r="C82" s="130" t="str">
        <f>'инновации+добровольчество0,3643'!A136</f>
        <v>Почтовые конверты</v>
      </c>
      <c r="D82" s="94" t="s">
        <v>38</v>
      </c>
      <c r="E82" s="216">
        <f>'таланты+инициативы0,2714'!D153</f>
        <v>0</v>
      </c>
    </row>
    <row r="83" spans="1:5" ht="15" hidden="1" customHeight="1" x14ac:dyDescent="0.25">
      <c r="A83" s="748"/>
      <c r="B83" s="676"/>
      <c r="C83" s="130" t="e">
        <f>'инновации+добровольчество0,3643'!#REF!</f>
        <v>#REF!</v>
      </c>
      <c r="D83" s="94" t="s">
        <v>38</v>
      </c>
      <c r="E83" s="216" t="e">
        <f>'таланты+инициативы0,2714'!#REF!</f>
        <v>#REF!</v>
      </c>
    </row>
    <row r="84" spans="1:5" ht="15" hidden="1" customHeight="1" x14ac:dyDescent="0.25">
      <c r="A84" s="748"/>
      <c r="B84" s="676"/>
      <c r="C84" s="130" t="e">
        <f>'инновации+добровольчество0,3643'!#REF!</f>
        <v>#REF!</v>
      </c>
      <c r="D84" s="94" t="s">
        <v>22</v>
      </c>
      <c r="E84" s="216" t="e">
        <f>'таланты+инициативы0,2714'!#REF!</f>
        <v>#REF!</v>
      </c>
    </row>
    <row r="85" spans="1:5" ht="12" customHeight="1" x14ac:dyDescent="0.25">
      <c r="A85" s="748"/>
      <c r="B85" s="676"/>
      <c r="C85" s="661" t="s">
        <v>139</v>
      </c>
      <c r="D85" s="662"/>
      <c r="E85" s="663"/>
    </row>
    <row r="86" spans="1:5" ht="21.6" customHeight="1" x14ac:dyDescent="0.25">
      <c r="A86" s="748"/>
      <c r="B86" s="676"/>
      <c r="C86" s="103" t="s">
        <v>187</v>
      </c>
      <c r="D86" s="236" t="s">
        <v>143</v>
      </c>
      <c r="E86" s="160">
        <f>'таланты+инициативы0,2714'!E87</f>
        <v>0.27139999999999997</v>
      </c>
    </row>
    <row r="87" spans="1:5" ht="12" customHeight="1" x14ac:dyDescent="0.25">
      <c r="A87" s="748"/>
      <c r="B87" s="676"/>
      <c r="C87" s="111" t="s">
        <v>141</v>
      </c>
      <c r="D87" s="236" t="s">
        <v>134</v>
      </c>
      <c r="E87" s="160">
        <f>'таланты+инициативы0,2714'!E88</f>
        <v>0.27139999999999997</v>
      </c>
    </row>
    <row r="88" spans="1:5" ht="15" customHeight="1" x14ac:dyDescent="0.25">
      <c r="A88" s="748"/>
      <c r="B88" s="676"/>
      <c r="C88" s="111" t="s">
        <v>87</v>
      </c>
      <c r="D88" s="236" t="s">
        <v>134</v>
      </c>
      <c r="E88" s="160">
        <f>'таланты+инициативы0,2714'!E89</f>
        <v>0.13569999999999999</v>
      </c>
    </row>
    <row r="89" spans="1:5" ht="13.5" customHeight="1" x14ac:dyDescent="0.25">
      <c r="A89" s="748"/>
      <c r="B89" s="676"/>
      <c r="C89" s="111" t="s">
        <v>142</v>
      </c>
      <c r="D89" s="236" t="s">
        <v>134</v>
      </c>
      <c r="E89" s="160">
        <f>'таланты+инициативы0,2714'!E90</f>
        <v>0.27139999999999997</v>
      </c>
    </row>
    <row r="90" spans="1:5" ht="24.6" customHeight="1" x14ac:dyDescent="0.25">
      <c r="A90" s="748"/>
      <c r="B90" s="676"/>
      <c r="C90" s="506" t="s">
        <v>146</v>
      </c>
      <c r="D90" s="507"/>
      <c r="E90" s="508"/>
    </row>
    <row r="91" spans="1:5" ht="12" customHeight="1" x14ac:dyDescent="0.25">
      <c r="A91" s="748"/>
      <c r="B91" s="676"/>
      <c r="C91" s="380" t="str">
        <f>'инновации+добровольчество0,3643'!A102</f>
        <v>Пособие по уходу за ребенком до 3-х лет</v>
      </c>
      <c r="D91" s="382" t="s">
        <v>122</v>
      </c>
      <c r="E91" s="217">
        <f>E86</f>
        <v>0.27139999999999997</v>
      </c>
    </row>
    <row r="92" spans="1:5" ht="12" customHeight="1" x14ac:dyDescent="0.25">
      <c r="A92" s="748"/>
      <c r="B92" s="676"/>
      <c r="C92" s="661" t="s">
        <v>147</v>
      </c>
      <c r="D92" s="662"/>
      <c r="E92" s="663"/>
    </row>
    <row r="93" spans="1:5" ht="12" customHeight="1" x14ac:dyDescent="0.25">
      <c r="A93" s="748"/>
      <c r="B93" s="676"/>
      <c r="C93" s="112" t="s">
        <v>289</v>
      </c>
      <c r="D93" s="94" t="s">
        <v>39</v>
      </c>
      <c r="E93" s="214">
        <f>'таланты+инициативы0,2714'!E140</f>
        <v>24.968799999999998</v>
      </c>
    </row>
    <row r="94" spans="1:5" ht="12" customHeight="1" x14ac:dyDescent="0.25">
      <c r="A94" s="748"/>
      <c r="B94" s="676"/>
      <c r="C94" s="112" t="s">
        <v>290</v>
      </c>
      <c r="D94" s="94" t="s">
        <v>39</v>
      </c>
      <c r="E94" s="214">
        <f>'таланты+инициативы0,2714'!E141</f>
        <v>6.2421999999999995</v>
      </c>
    </row>
    <row r="95" spans="1:5" ht="12" customHeight="1" x14ac:dyDescent="0.25">
      <c r="A95" s="748"/>
      <c r="B95" s="676"/>
      <c r="C95" s="112" t="s">
        <v>291</v>
      </c>
      <c r="D95" s="94" t="s">
        <v>39</v>
      </c>
      <c r="E95" s="214">
        <f>'таланты+инициативы0,2714'!E142</f>
        <v>18.726599999999998</v>
      </c>
    </row>
    <row r="96" spans="1:5" ht="12" customHeight="1" x14ac:dyDescent="0.25">
      <c r="A96" s="748"/>
      <c r="B96" s="676"/>
      <c r="C96" s="509" t="s">
        <v>148</v>
      </c>
      <c r="D96" s="510"/>
      <c r="E96" s="511"/>
    </row>
    <row r="97" spans="1:5" ht="11.25" customHeight="1" x14ac:dyDescent="0.25">
      <c r="A97" s="748"/>
      <c r="B97" s="676"/>
      <c r="C97" s="114" t="str">
        <f>'инновации+добровольчество0,3643'!A144</f>
        <v>Провоз груза 2000 кг (1 кг=9,50 руб)</v>
      </c>
      <c r="D97" s="79" t="s">
        <v>22</v>
      </c>
      <c r="E97" s="221">
        <f>'таланты+инициативы0,2714'!D161</f>
        <v>0.27139999999999997</v>
      </c>
    </row>
    <row r="98" spans="1:5" ht="12" customHeight="1" x14ac:dyDescent="0.25">
      <c r="A98" s="748"/>
      <c r="B98" s="676"/>
      <c r="C98" s="682" t="s">
        <v>149</v>
      </c>
      <c r="D98" s="683"/>
      <c r="E98" s="684"/>
    </row>
    <row r="99" spans="1:5" ht="12" customHeight="1" x14ac:dyDescent="0.25">
      <c r="A99" s="748"/>
      <c r="B99" s="676"/>
      <c r="C99" s="381" t="str">
        <f>'таланты+инициативы0,2714'!A191</f>
        <v>Обучение персонала</v>
      </c>
      <c r="D99" s="127" t="s">
        <v>122</v>
      </c>
      <c r="E99" s="492">
        <f>'таланты+инициативы0,2714'!D191</f>
        <v>0.27139999999999997</v>
      </c>
    </row>
    <row r="100" spans="1:5" ht="12" customHeight="1" x14ac:dyDescent="0.25">
      <c r="A100" s="748"/>
      <c r="B100" s="676"/>
      <c r="C100" s="381" t="str">
        <f>'таланты+инициативы0,2714'!A192</f>
        <v>Блок фотобарабана</v>
      </c>
      <c r="D100" s="127" t="s">
        <v>122</v>
      </c>
      <c r="E100" s="492">
        <f>'таланты+инициативы0,2714'!D192</f>
        <v>0.54279999999999995</v>
      </c>
    </row>
    <row r="101" spans="1:5" ht="12.75" customHeight="1" x14ac:dyDescent="0.25">
      <c r="A101" s="748"/>
      <c r="B101" s="676"/>
      <c r="C101" s="381" t="str">
        <f>'таланты+инициативы0,2714'!A193</f>
        <v>Чкрнила для принтера</v>
      </c>
      <c r="D101" s="63" t="str">
        <f>'натур показатели патриотика'!D112</f>
        <v>шт</v>
      </c>
      <c r="E101" s="492">
        <f>'таланты+инициативы0,2714'!D193</f>
        <v>2.1711999999999998</v>
      </c>
    </row>
    <row r="102" spans="1:5" ht="12.75" customHeight="1" x14ac:dyDescent="0.25">
      <c r="A102" s="748"/>
      <c r="B102" s="676"/>
      <c r="C102" s="381" t="str">
        <f>'таланты+инициативы0,2714'!A194</f>
        <v>картридж</v>
      </c>
      <c r="D102" s="63" t="str">
        <f>'натур показатели патриотика'!D113</f>
        <v>шт</v>
      </c>
      <c r="E102" s="492">
        <f>'таланты+инициативы0,2714'!D194</f>
        <v>1.0855999999999999</v>
      </c>
    </row>
    <row r="103" spans="1:5" ht="12" customHeight="1" x14ac:dyDescent="0.25">
      <c r="A103" s="748"/>
      <c r="B103" s="676"/>
      <c r="C103" s="381" t="str">
        <f>'таланты+инициативы0,2714'!A195</f>
        <v>Комплектующие для настольных игр</v>
      </c>
      <c r="D103" s="63" t="str">
        <f>'натур показатели патриотика'!D114</f>
        <v>шт</v>
      </c>
      <c r="E103" s="492">
        <f>'таланты+инициативы0,2714'!D195</f>
        <v>8.9561999999999991</v>
      </c>
    </row>
    <row r="104" spans="1:5" ht="12" customHeight="1" x14ac:dyDescent="0.25">
      <c r="A104" s="748"/>
      <c r="B104" s="676"/>
      <c r="C104" s="381" t="str">
        <f>'таланты+инициативы0,2714'!A196</f>
        <v>Настольные игры</v>
      </c>
      <c r="D104" s="63" t="str">
        <f>'натур показатели патриотика'!D115</f>
        <v>шт</v>
      </c>
      <c r="E104" s="492">
        <f>'таланты+инициативы0,2714'!D196</f>
        <v>2.7139999999999995</v>
      </c>
    </row>
    <row r="105" spans="1:5" ht="12" customHeight="1" x14ac:dyDescent="0.25">
      <c r="A105" s="748"/>
      <c r="B105" s="676"/>
      <c r="C105" s="381" t="str">
        <f>'таланты+инициативы0,2714'!A197</f>
        <v xml:space="preserve">Батарейка </v>
      </c>
      <c r="D105" s="63" t="str">
        <f>'натур показатели патриотика'!D116</f>
        <v>шт</v>
      </c>
      <c r="E105" s="492">
        <f>'таланты+инициативы0,2714'!D197</f>
        <v>2.4425999999999997</v>
      </c>
    </row>
    <row r="106" spans="1:5" ht="12" customHeight="1" x14ac:dyDescent="0.25">
      <c r="A106" s="748"/>
      <c r="B106" s="676"/>
      <c r="C106" s="381" t="str">
        <f>'таланты+инициативы0,2714'!A198</f>
        <v>блок для записей</v>
      </c>
      <c r="D106" s="63" t="str">
        <f>'натур показатели патриотика'!D117</f>
        <v>шт</v>
      </c>
      <c r="E106" s="492">
        <f>'таланты+инициативы0,2714'!D198</f>
        <v>0.81419999999999992</v>
      </c>
    </row>
    <row r="107" spans="1:5" ht="12" customHeight="1" x14ac:dyDescent="0.25">
      <c r="A107" s="748"/>
      <c r="B107" s="676"/>
      <c r="C107" s="381" t="str">
        <f>'таланты+инициативы0,2714'!A199</f>
        <v>бумага туал</v>
      </c>
      <c r="D107" s="63" t="str">
        <f>'натур показатели патриотика'!D118</f>
        <v>шт</v>
      </c>
      <c r="E107" s="492">
        <f>'таланты+инициативы0,2714'!D199</f>
        <v>26.054399999999998</v>
      </c>
    </row>
    <row r="108" spans="1:5" ht="12" customHeight="1" x14ac:dyDescent="0.25">
      <c r="A108" s="748"/>
      <c r="B108" s="676"/>
      <c r="C108" s="381" t="str">
        <f>'таланты+инициативы0,2714'!A200</f>
        <v>губка-ластик</v>
      </c>
      <c r="D108" s="63" t="str">
        <f>'натур показатели патриотика'!D119</f>
        <v>шт</v>
      </c>
      <c r="E108" s="492">
        <f>'таланты+инициативы0,2714'!D200</f>
        <v>0.54279999999999995</v>
      </c>
    </row>
    <row r="109" spans="1:5" ht="12" customHeight="1" x14ac:dyDescent="0.25">
      <c r="A109" s="748"/>
      <c r="B109" s="676"/>
      <c r="C109" s="381" t="str">
        <f>'таланты+инициативы0,2714'!A201</f>
        <v>доска-планшет</v>
      </c>
      <c r="D109" s="63" t="str">
        <f>'натур показатели патриотика'!D120</f>
        <v>шт</v>
      </c>
      <c r="E109" s="492">
        <f>'таланты+инициативы0,2714'!D201</f>
        <v>5.427999999999999</v>
      </c>
    </row>
    <row r="110" spans="1:5" ht="12" customHeight="1" x14ac:dyDescent="0.25">
      <c r="A110" s="748"/>
      <c r="B110" s="676"/>
      <c r="C110" s="381" t="str">
        <f>'таланты+инициативы0,2714'!A202</f>
        <v>закладки</v>
      </c>
      <c r="D110" s="63" t="str">
        <f>'натур показатели патриотика'!D121</f>
        <v>шт</v>
      </c>
      <c r="E110" s="492">
        <f>'таланты+инициативы0,2714'!D202</f>
        <v>0.54279999999999995</v>
      </c>
    </row>
    <row r="111" spans="1:5" ht="12" customHeight="1" x14ac:dyDescent="0.25">
      <c r="A111" s="748"/>
      <c r="B111" s="676"/>
      <c r="C111" s="381" t="str">
        <f>'таланты+инициативы0,2714'!A203</f>
        <v>карандаш</v>
      </c>
      <c r="D111" s="63" t="str">
        <f>'натур показатели патриотика'!D122</f>
        <v>шт</v>
      </c>
      <c r="E111" s="492">
        <f>'таланты+инициативы0,2714'!D203</f>
        <v>27.139999999999997</v>
      </c>
    </row>
    <row r="112" spans="1:5" ht="12" customHeight="1" x14ac:dyDescent="0.25">
      <c r="A112" s="748"/>
      <c r="B112" s="676"/>
      <c r="C112" s="381" t="str">
        <f>'таланты+инициативы0,2714'!A204</f>
        <v>клей</v>
      </c>
      <c r="D112" s="63" t="str">
        <f>'натур показатели патриотика'!D123</f>
        <v>шт</v>
      </c>
      <c r="E112" s="492">
        <f>'таланты+инициативы0,2714'!D204</f>
        <v>15.198399999999999</v>
      </c>
    </row>
    <row r="113" spans="1:5" ht="12" customHeight="1" x14ac:dyDescent="0.25">
      <c r="A113" s="748"/>
      <c r="B113" s="676"/>
      <c r="C113" s="381" t="str">
        <f>'таланты+инициативы0,2714'!A205</f>
        <v>книга отзывов</v>
      </c>
      <c r="D113" s="63" t="str">
        <f>'натур показатели патриотика'!D124</f>
        <v>шт</v>
      </c>
      <c r="E113" s="492">
        <f>'таланты+инициативы0,2714'!D205</f>
        <v>0.54279999999999995</v>
      </c>
    </row>
    <row r="114" spans="1:5" ht="12" customHeight="1" x14ac:dyDescent="0.25">
      <c r="A114" s="748"/>
      <c r="B114" s="676"/>
      <c r="C114" s="381" t="str">
        <f>'таланты+инициативы0,2714'!A206</f>
        <v>лампа светодиод</v>
      </c>
      <c r="D114" s="63" t="str">
        <f>'натур показатели патриотика'!D125</f>
        <v>шт</v>
      </c>
      <c r="E114" s="492">
        <f>'таланты+инициативы0,2714'!D206</f>
        <v>2.7139999999999995</v>
      </c>
    </row>
    <row r="115" spans="1:5" ht="12" customHeight="1" x14ac:dyDescent="0.25">
      <c r="A115" s="748"/>
      <c r="B115" s="676"/>
      <c r="C115" s="381" t="str">
        <f>'таланты+инициативы0,2714'!A207</f>
        <v>кнопки</v>
      </c>
      <c r="D115" s="63" t="str">
        <f>'натур показатели патриотика'!D126</f>
        <v>шт</v>
      </c>
      <c r="E115" s="492">
        <f>'таланты+инициативы0,2714'!D207</f>
        <v>2.7139999999999995</v>
      </c>
    </row>
    <row r="116" spans="1:5" ht="12" customHeight="1" x14ac:dyDescent="0.25">
      <c r="A116" s="748"/>
      <c r="B116" s="676"/>
      <c r="C116" s="381" t="str">
        <f>'таланты+инициативы0,2714'!A208</f>
        <v>магниты, маркеры</v>
      </c>
      <c r="D116" s="63" t="str">
        <f>'натур показатели патриотика'!D127</f>
        <v>шт</v>
      </c>
      <c r="E116" s="492">
        <f>'таланты+инициативы0,2714'!D208</f>
        <v>13.298599999999999</v>
      </c>
    </row>
    <row r="117" spans="1:5" ht="12" customHeight="1" x14ac:dyDescent="0.25">
      <c r="A117" s="748"/>
      <c r="B117" s="676"/>
      <c r="C117" s="381" t="str">
        <f>'таланты+инициативы0,2714'!A209</f>
        <v>мешки мусор</v>
      </c>
      <c r="D117" s="63" t="str">
        <f>'натур показатели патриотика'!D128</f>
        <v>шт</v>
      </c>
      <c r="E117" s="492">
        <f>'таланты+инициативы0,2714'!D209</f>
        <v>12.755799999999999</v>
      </c>
    </row>
    <row r="118" spans="1:5" ht="12" customHeight="1" x14ac:dyDescent="0.25">
      <c r="A118" s="748"/>
      <c r="B118" s="676"/>
      <c r="C118" s="381" t="str">
        <f>'таланты+инициативы0,2714'!A210</f>
        <v>мыло крем</v>
      </c>
      <c r="D118" s="63" t="str">
        <f>'натур показатели патриотика'!D129</f>
        <v>шт</v>
      </c>
      <c r="E118" s="492">
        <f>'таланты+инициативы0,2714'!D210</f>
        <v>0.27139999999999997</v>
      </c>
    </row>
    <row r="119" spans="1:5" ht="12" customHeight="1" x14ac:dyDescent="0.25">
      <c r="A119" s="748"/>
      <c r="B119" s="676"/>
      <c r="C119" s="381" t="str">
        <f>'таланты+инициативы0,2714'!A211</f>
        <v>текстовыделитель, нож макет</v>
      </c>
      <c r="D119" s="63" t="str">
        <f>'натур показатели патриотика'!D130</f>
        <v>шт</v>
      </c>
      <c r="E119" s="492">
        <f>'таланты+инициативы0,2714'!D211</f>
        <v>1.3569999999999998</v>
      </c>
    </row>
    <row r="120" spans="1:5" ht="12" customHeight="1" x14ac:dyDescent="0.25">
      <c r="A120" s="748"/>
      <c r="B120" s="676"/>
      <c r="C120" s="381" t="str">
        <f>'таланты+инициативы0,2714'!A212</f>
        <v>освежитель</v>
      </c>
      <c r="D120" s="63" t="str">
        <f>'натур показатели патриотика'!D131</f>
        <v>шт</v>
      </c>
      <c r="E120" s="492">
        <f>'таланты+инициативы0,2714'!D212</f>
        <v>4.0709999999999997</v>
      </c>
    </row>
    <row r="121" spans="1:5" ht="12" customHeight="1" x14ac:dyDescent="0.25">
      <c r="A121" s="748"/>
      <c r="B121" s="676"/>
      <c r="C121" s="381" t="str">
        <f>'таланты+инициативы0,2714'!A213</f>
        <v>папка</v>
      </c>
      <c r="D121" s="63" t="str">
        <f>'натур показатели патриотика'!D132</f>
        <v>шт</v>
      </c>
      <c r="E121" s="492">
        <f>'таланты+инициативы0,2714'!D213</f>
        <v>29.039799999999996</v>
      </c>
    </row>
    <row r="122" spans="1:5" ht="12" customHeight="1" x14ac:dyDescent="0.25">
      <c r="A122" s="748"/>
      <c r="B122" s="676"/>
      <c r="C122" s="381" t="str">
        <f>'таланты+инициативы0,2714'!A214</f>
        <v>перчатки, полотенца, салфетки</v>
      </c>
      <c r="D122" s="63" t="str">
        <f>'натур показатели патриотика'!D133</f>
        <v>шт</v>
      </c>
      <c r="E122" s="492">
        <f>'таланты+инициативы0,2714'!D214</f>
        <v>13.569999999999999</v>
      </c>
    </row>
    <row r="123" spans="1:5" ht="12" customHeight="1" x14ac:dyDescent="0.25">
      <c r="A123" s="748"/>
      <c r="B123" s="676"/>
      <c r="C123" s="381" t="str">
        <f>'таланты+инициативы0,2714'!A215</f>
        <v>свечи</v>
      </c>
      <c r="D123" s="63" t="str">
        <f>'натур показатели патриотика'!D134</f>
        <v>шт</v>
      </c>
      <c r="E123" s="492">
        <f>'таланты+инициативы0,2714'!D215</f>
        <v>0.54279999999999995</v>
      </c>
    </row>
    <row r="124" spans="1:5" ht="12" customHeight="1" x14ac:dyDescent="0.25">
      <c r="A124" s="748"/>
      <c r="B124" s="676"/>
      <c r="C124" s="381" t="str">
        <f>'таланты+инициативы0,2714'!A216</f>
        <v>кнопки, скобы</v>
      </c>
      <c r="D124" s="63" t="str">
        <f>'натур показатели патриотика'!D135</f>
        <v>шт</v>
      </c>
      <c r="E124" s="492">
        <f>'таланты+инициативы0,2714'!D216</f>
        <v>51.565999999999995</v>
      </c>
    </row>
    <row r="125" spans="1:5" ht="12" customHeight="1" x14ac:dyDescent="0.25">
      <c r="A125" s="748"/>
      <c r="B125" s="676"/>
      <c r="C125" s="381" t="str">
        <f>'таланты+инициативы0,2714'!A217</f>
        <v>моющие ср-ва</v>
      </c>
      <c r="D125" s="63" t="str">
        <f>'натур показатели патриотика'!D136</f>
        <v>шт</v>
      </c>
      <c r="E125" s="492">
        <f>'таланты+инициативы0,2714'!D217</f>
        <v>0.54279999999999995</v>
      </c>
    </row>
    <row r="126" spans="1:5" ht="12" customHeight="1" x14ac:dyDescent="0.25">
      <c r="A126" s="748"/>
      <c r="B126" s="676"/>
      <c r="C126" s="381" t="str">
        <f>'таланты+инициативы0,2714'!A218</f>
        <v>хомуты</v>
      </c>
      <c r="D126" s="63" t="str">
        <f>'натур показатели патриотика'!D137</f>
        <v>шт</v>
      </c>
      <c r="E126" s="492">
        <f>'таланты+инициативы0,2714'!D218</f>
        <v>1.3569999999999998</v>
      </c>
    </row>
    <row r="127" spans="1:5" ht="12" customHeight="1" x14ac:dyDescent="0.25">
      <c r="A127" s="748"/>
      <c r="B127" s="676"/>
      <c r="C127" s="381" t="str">
        <f>'таланты+инициативы0,2714'!A219</f>
        <v>чистящие ср-ва</v>
      </c>
      <c r="D127" s="63" t="str">
        <f>'натур показатели патриотика'!D138</f>
        <v>шт</v>
      </c>
      <c r="E127" s="492">
        <f>'таланты+инициативы0,2714'!D219</f>
        <v>2.7139999999999995</v>
      </c>
    </row>
    <row r="128" spans="1:5" ht="12" customHeight="1" x14ac:dyDescent="0.25">
      <c r="A128" s="748"/>
      <c r="B128" s="676"/>
      <c r="C128" s="381" t="str">
        <f>'таланты+инициативы0,2714'!A220</f>
        <v>шпагат</v>
      </c>
      <c r="D128" s="63" t="str">
        <f>'натур показатели патриотика'!D139</f>
        <v>шт</v>
      </c>
      <c r="E128" s="492">
        <f>'таланты+инициативы0,2714'!D220</f>
        <v>0.54279999999999995</v>
      </c>
    </row>
    <row r="129" spans="1:5" ht="12" customHeight="1" x14ac:dyDescent="0.25">
      <c r="A129" s="748"/>
      <c r="B129" s="676"/>
      <c r="C129" s="381" t="str">
        <f>'таланты+инициативы0,2714'!A221</f>
        <v>Флаг парус 3650*815</v>
      </c>
      <c r="D129" s="63" t="str">
        <f>'натур показатели патриотика'!D140</f>
        <v>шт</v>
      </c>
      <c r="E129" s="492">
        <f>'таланты+инициативы0,2714'!D221</f>
        <v>2.1711999999999998</v>
      </c>
    </row>
    <row r="130" spans="1:5" ht="12" customHeight="1" x14ac:dyDescent="0.25">
      <c r="A130" s="748"/>
      <c r="B130" s="676"/>
      <c r="C130" s="381" t="str">
        <f>'таланты+инициативы0,2714'!A222</f>
        <v>Сумка кофр</v>
      </c>
      <c r="D130" s="63" t="str">
        <f>'натур показатели патриотика'!D141</f>
        <v>шт</v>
      </c>
      <c r="E130" s="492">
        <f>'таланты+инициативы0,2714'!D222</f>
        <v>1.6283999999999998</v>
      </c>
    </row>
    <row r="131" spans="1:5" ht="12" customHeight="1" x14ac:dyDescent="0.25">
      <c r="A131" s="748"/>
      <c r="B131" s="676"/>
      <c r="C131" s="381" t="str">
        <f>'таланты+инициативы0,2714'!A223</f>
        <v>мачта разборная</v>
      </c>
      <c r="D131" s="63" t="str">
        <f>'натур показатели патриотика'!D142</f>
        <v>шт</v>
      </c>
      <c r="E131" s="492">
        <f>'таланты+инициативы0,2714'!D223</f>
        <v>1.6283999999999998</v>
      </c>
    </row>
    <row r="132" spans="1:5" ht="12" customHeight="1" x14ac:dyDescent="0.25">
      <c r="A132" s="748"/>
      <c r="B132" s="676"/>
      <c r="C132" s="381" t="str">
        <f>'таланты+инициативы0,2714'!A224</f>
        <v>наливное пластиковое основание</v>
      </c>
      <c r="D132" s="63" t="str">
        <f>'натур показатели патриотика'!D143</f>
        <v>шт</v>
      </c>
      <c r="E132" s="492">
        <f>'таланты+инициативы0,2714'!D224</f>
        <v>1.6283999999999998</v>
      </c>
    </row>
    <row r="133" spans="1:5" ht="12" customHeight="1" x14ac:dyDescent="0.25">
      <c r="A133" s="748"/>
      <c r="B133" s="676"/>
      <c r="C133" s="381" t="str">
        <f>'таланты+инициативы0,2714'!A225</f>
        <v>Бумага А4</v>
      </c>
      <c r="D133" s="63" t="str">
        <f>'натур показатели патриотика'!D144</f>
        <v>шт</v>
      </c>
      <c r="E133" s="492">
        <f>'таланты+инициативы0,2714'!D225</f>
        <v>10.855999999999998</v>
      </c>
    </row>
    <row r="134" spans="1:5" ht="12" customHeight="1" x14ac:dyDescent="0.25">
      <c r="A134" s="748"/>
      <c r="B134" s="676"/>
      <c r="C134" s="381" t="str">
        <f>'таланты+инициативы0,2714'!A226</f>
        <v>Бумага Ксерокс</v>
      </c>
      <c r="D134" s="63" t="str">
        <f>'натур показатели патриотика'!D145</f>
        <v>шт</v>
      </c>
      <c r="E134" s="492">
        <f>'таланты+инициативы0,2714'!D226</f>
        <v>2.7139999999999995</v>
      </c>
    </row>
    <row r="135" spans="1:5" ht="12" customHeight="1" x14ac:dyDescent="0.25">
      <c r="A135" s="748"/>
      <c r="B135" s="676"/>
      <c r="C135" s="381" t="str">
        <f>'таланты+инициативы0,2714'!A227</f>
        <v>Холст кактус</v>
      </c>
      <c r="D135" s="63" t="str">
        <f>'натур показатели патриотика'!D146</f>
        <v>шт</v>
      </c>
      <c r="E135" s="492">
        <f>'таланты+инициативы0,2714'!D227</f>
        <v>0.54279999999999995</v>
      </c>
    </row>
    <row r="136" spans="1:5" ht="12" customHeight="1" x14ac:dyDescent="0.25">
      <c r="A136" s="748"/>
      <c r="B136" s="676"/>
      <c r="C136" s="381" t="str">
        <f>'таланты+инициативы0,2714'!A228</f>
        <v>Пленка для ламинирования</v>
      </c>
      <c r="D136" s="63" t="str">
        <f>'натур показатели патриотика'!D147</f>
        <v>шт</v>
      </c>
      <c r="E136" s="492">
        <f>'таланты+инициативы0,2714'!D228</f>
        <v>1.3569999999999998</v>
      </c>
    </row>
    <row r="137" spans="1:5" ht="12" customHeight="1" x14ac:dyDescent="0.25">
      <c r="A137" s="748"/>
      <c r="B137" s="676"/>
      <c r="C137" s="381" t="str">
        <f>'таланты+инициативы0,2714'!A229</f>
        <v>Ручка гель</v>
      </c>
      <c r="D137" s="63" t="str">
        <f>'натур показатели патриотика'!D148</f>
        <v>шт</v>
      </c>
      <c r="E137" s="492">
        <f>'таланты+инициативы0,2714'!D229</f>
        <v>5.427999999999999</v>
      </c>
    </row>
    <row r="138" spans="1:5" ht="12" customHeight="1" x14ac:dyDescent="0.25">
      <c r="A138" s="748"/>
      <c r="B138" s="676"/>
      <c r="C138" s="381" t="str">
        <f>'таланты+инициативы0,2714'!A230</f>
        <v>Ложка суповая</v>
      </c>
      <c r="D138" s="63" t="str">
        <f>'натур показатели патриотика'!D149</f>
        <v>шт</v>
      </c>
      <c r="E138" s="492">
        <f>'таланты+инициативы0,2714'!D230</f>
        <v>271.39999999999998</v>
      </c>
    </row>
    <row r="139" spans="1:5" ht="12" customHeight="1" x14ac:dyDescent="0.25">
      <c r="A139" s="748"/>
      <c r="B139" s="676"/>
      <c r="C139" s="381" t="str">
        <f>'таланты+инициативы0,2714'!A231</f>
        <v>Тарелка суповая</v>
      </c>
      <c r="D139" s="63" t="str">
        <f>'натур показатели патриотика'!D150</f>
        <v>шт</v>
      </c>
      <c r="E139" s="492">
        <f>'таланты+инициативы0,2714'!D231</f>
        <v>271.39999999999998</v>
      </c>
    </row>
    <row r="140" spans="1:5" ht="12" customHeight="1" x14ac:dyDescent="0.25">
      <c r="A140" s="748"/>
      <c r="B140" s="676"/>
      <c r="C140" s="381" t="str">
        <f>'таланты+инициативы0,2714'!A232</f>
        <v xml:space="preserve">Стакан однораз </v>
      </c>
      <c r="D140" s="63" t="str">
        <f>'натур показатели патриотика'!D151</f>
        <v>шт</v>
      </c>
      <c r="E140" s="492">
        <f>'таланты+инициативы0,2714'!D232</f>
        <v>542.79999999999995</v>
      </c>
    </row>
    <row r="141" spans="1:5" ht="12" customHeight="1" x14ac:dyDescent="0.25">
      <c r="A141" s="748"/>
      <c r="B141" s="676"/>
      <c r="C141" s="381" t="str">
        <f>'таланты+инициативы0,2714'!A233</f>
        <v>Стакан однораз 250 мл</v>
      </c>
      <c r="D141" s="63" t="str">
        <f>'натур показатели патриотика'!D152</f>
        <v>шт</v>
      </c>
      <c r="E141" s="492">
        <f>'таланты+инициативы0,2714'!D233</f>
        <v>271.39999999999998</v>
      </c>
    </row>
    <row r="142" spans="1:5" ht="12" customHeight="1" x14ac:dyDescent="0.25">
      <c r="A142" s="748"/>
      <c r="B142" s="676"/>
      <c r="C142" s="381" t="str">
        <f>'таланты+инициативы0,2714'!A234</f>
        <v>Бумага цветная</v>
      </c>
      <c r="D142" s="63" t="str">
        <f>'натур показатели патриотика'!D153</f>
        <v>шт</v>
      </c>
      <c r="E142" s="492">
        <f>'таланты+инициативы0,2714'!D234</f>
        <v>1.0855999999999999</v>
      </c>
    </row>
    <row r="143" spans="1:5" ht="12" customHeight="1" x14ac:dyDescent="0.25">
      <c r="A143" s="748"/>
      <c r="B143" s="676"/>
      <c r="C143" s="381" t="str">
        <f>'таланты+инициативы0,2714'!A235</f>
        <v>Бумага писчая</v>
      </c>
      <c r="D143" s="63" t="str">
        <f>'натур показатели патриотика'!D154</f>
        <v>шт</v>
      </c>
      <c r="E143" s="492">
        <f>'таланты+инициативы0,2714'!D235</f>
        <v>1.3569999999999998</v>
      </c>
    </row>
    <row r="144" spans="1:5" ht="12" customHeight="1" x14ac:dyDescent="0.25">
      <c r="A144" s="748"/>
      <c r="B144" s="676"/>
      <c r="C144" s="381" t="str">
        <f>'таланты+инициативы0,2714'!A236</f>
        <v>Фитолента</v>
      </c>
      <c r="D144" s="63" t="str">
        <f>'натур показатели патриотика'!D155</f>
        <v>шт</v>
      </c>
      <c r="E144" s="492">
        <f>'таланты+инициативы0,2714'!D236</f>
        <v>1.3569999999999998</v>
      </c>
    </row>
    <row r="145" spans="1:5" ht="12" customHeight="1" x14ac:dyDescent="0.25">
      <c r="A145" s="748"/>
      <c r="B145" s="676"/>
      <c r="C145" s="381" t="str">
        <f>'таланты+инициативы0,2714'!A237</f>
        <v>грунт универсал</v>
      </c>
      <c r="D145" s="63" t="str">
        <f>'натур показатели патриотика'!D156</f>
        <v>шт</v>
      </c>
      <c r="E145" s="492">
        <f>'таланты+инициативы0,2714'!D237</f>
        <v>1.3569999999999998</v>
      </c>
    </row>
    <row r="146" spans="1:5" ht="12" customHeight="1" x14ac:dyDescent="0.25">
      <c r="A146" s="748"/>
      <c r="B146" s="676"/>
      <c r="C146" s="381" t="str">
        <f>'таланты+инициативы0,2714'!A238</f>
        <v>комплект рассадников</v>
      </c>
      <c r="D146" s="63" t="str">
        <f>'натур показатели патриотика'!D157</f>
        <v>шт</v>
      </c>
      <c r="E146" s="492">
        <f>'таланты+инициативы0,2714'!D238</f>
        <v>9.4989999999999988</v>
      </c>
    </row>
    <row r="147" spans="1:5" ht="12" customHeight="1" x14ac:dyDescent="0.25">
      <c r="A147" s="748"/>
      <c r="B147" s="676"/>
      <c r="C147" s="381" t="str">
        <f>'таланты+инициативы0,2714'!A239</f>
        <v>семена цветов</v>
      </c>
      <c r="D147" s="63" t="str">
        <f>'натур показатели патриотика'!D158</f>
        <v>шт</v>
      </c>
      <c r="E147" s="492">
        <f>'таланты+инициативы0,2714'!D239</f>
        <v>16.283999999999999</v>
      </c>
    </row>
    <row r="148" spans="1:5" ht="12" customHeight="1" x14ac:dyDescent="0.25">
      <c r="A148" s="748"/>
      <c r="B148" s="676"/>
      <c r="C148" s="381" t="str">
        <f>'таланты+инициативы0,2714'!A240</f>
        <v>пьезозажтгалка</v>
      </c>
      <c r="D148" s="63" t="str">
        <f>'натур показатели патриотика'!D159</f>
        <v>шт</v>
      </c>
      <c r="E148" s="492">
        <f>'таланты+инициативы0,2714'!D240</f>
        <v>2.7139999999999995</v>
      </c>
    </row>
    <row r="149" spans="1:5" ht="12" customHeight="1" x14ac:dyDescent="0.25">
      <c r="A149" s="748"/>
      <c r="B149" s="676"/>
      <c r="C149" s="381" t="str">
        <f>'таланты+инициативы0,2714'!A241</f>
        <v>лейка садовая</v>
      </c>
      <c r="D149" s="63" t="str">
        <f>'натур показатели патриотика'!D160</f>
        <v>шт</v>
      </c>
      <c r="E149" s="492">
        <f>'таланты+инициативы0,2714'!D241</f>
        <v>0.27139999999999997</v>
      </c>
    </row>
    <row r="150" spans="1:5" ht="12" customHeight="1" x14ac:dyDescent="0.25">
      <c r="A150" s="748"/>
      <c r="B150" s="676"/>
      <c r="C150" s="381" t="str">
        <f>'таланты+инициативы0,2714'!A242</f>
        <v>Толстовка мц</v>
      </c>
      <c r="D150" s="63" t="str">
        <f>'натур показатели патриотика'!D161</f>
        <v>шт</v>
      </c>
      <c r="E150" s="492">
        <f>'таланты+инициативы0,2714'!D242</f>
        <v>1.8997999999999999</v>
      </c>
    </row>
    <row r="151" spans="1:5" ht="12" customHeight="1" x14ac:dyDescent="0.25">
      <c r="A151" s="748"/>
      <c r="B151" s="676"/>
      <c r="C151" s="381" t="str">
        <f>'таланты+инициативы0,2714'!A243</f>
        <v>футболка мц</v>
      </c>
      <c r="D151" s="63" t="str">
        <f>'натур показатели патриотика'!D162</f>
        <v>шт</v>
      </c>
      <c r="E151" s="492">
        <f>'таланты+инициативы0,2714'!D243</f>
        <v>2.7139999999999995</v>
      </c>
    </row>
    <row r="152" spans="1:5" ht="12" customHeight="1" x14ac:dyDescent="0.25">
      <c r="A152" s="748"/>
      <c r="B152" s="676"/>
      <c r="C152" s="381" t="str">
        <f>'таланты+инициативы0,2714'!A244</f>
        <v>бейсболка мц</v>
      </c>
      <c r="D152" s="63" t="str">
        <f>'натур показатели патриотика'!D163</f>
        <v>шт</v>
      </c>
      <c r="E152" s="492">
        <f>'таланты+инициативы0,2714'!D244</f>
        <v>1.8997999999999999</v>
      </c>
    </row>
    <row r="153" spans="1:5" ht="12" customHeight="1" x14ac:dyDescent="0.25">
      <c r="A153" s="748"/>
      <c r="B153" s="676"/>
      <c r="C153" s="381" t="str">
        <f>'таланты+инициативы0,2714'!A245</f>
        <v>флаг мц</v>
      </c>
      <c r="D153" s="63" t="str">
        <f>'натур показатели патриотика'!D164</f>
        <v>шт</v>
      </c>
      <c r="E153" s="492">
        <f>'таланты+инициативы0,2714'!D245</f>
        <v>0.27139999999999997</v>
      </c>
    </row>
    <row r="154" spans="1:5" ht="12" customHeight="1" x14ac:dyDescent="0.25">
      <c r="A154" s="748"/>
      <c r="B154" s="676"/>
      <c r="C154" s="381" t="str">
        <f>'таланты+инициативы0,2714'!A246</f>
        <v>Футболка черная</v>
      </c>
      <c r="D154" s="63" t="str">
        <f>'натур показатели патриотика'!D165</f>
        <v>шт</v>
      </c>
      <c r="E154" s="492">
        <f>'таланты+инициативы0,2714'!D246</f>
        <v>1.3569999999999998</v>
      </c>
    </row>
    <row r="155" spans="1:5" ht="12" customHeight="1" x14ac:dyDescent="0.25">
      <c r="A155" s="748"/>
      <c r="B155" s="676"/>
      <c r="C155" s="381" t="str">
        <f>'таланты+инициативы0,2714'!A247</f>
        <v>система джокер 2*3</v>
      </c>
      <c r="D155" s="63" t="str">
        <f>'натур показатели патриотика'!D166</f>
        <v>шт</v>
      </c>
      <c r="E155" s="492">
        <f>'таланты+инициативы0,2714'!D247</f>
        <v>0.27139999999999997</v>
      </c>
    </row>
    <row r="156" spans="1:5" ht="12" customHeight="1" x14ac:dyDescent="0.25">
      <c r="A156" s="748"/>
      <c r="B156" s="676"/>
      <c r="C156" s="381" t="str">
        <f>'таланты+инициативы0,2714'!A248</f>
        <v>система джокер 2*2</v>
      </c>
      <c r="D156" s="63" t="str">
        <f>'натур показатели патриотика'!D167</f>
        <v>шт</v>
      </c>
      <c r="E156" s="492">
        <f>'таланты+инициативы0,2714'!D248</f>
        <v>0.54279999999999995</v>
      </c>
    </row>
    <row r="157" spans="1:5" ht="12" customHeight="1" x14ac:dyDescent="0.25">
      <c r="A157" s="748"/>
      <c r="B157" s="676"/>
      <c r="C157" s="381" t="str">
        <f>'таланты+инициативы0,2714'!A249</f>
        <v xml:space="preserve">мачта разборка </v>
      </c>
      <c r="D157" s="63" t="str">
        <f>'натур показатели патриотика'!D168</f>
        <v>шт</v>
      </c>
      <c r="E157" s="492">
        <f>'таланты+инициативы0,2714'!D249</f>
        <v>0.27139999999999997</v>
      </c>
    </row>
    <row r="158" spans="1:5" ht="12" customHeight="1" x14ac:dyDescent="0.25">
      <c r="A158" s="748"/>
      <c r="B158" s="676"/>
      <c r="C158" s="381" t="str">
        <f>'таланты+инициативы0,2714'!A250</f>
        <v>флаг парус</v>
      </c>
      <c r="D158" s="63" t="str">
        <f>'натур показатели патриотика'!D169</f>
        <v>шт</v>
      </c>
      <c r="E158" s="492">
        <f>'таланты+инициативы0,2714'!D250</f>
        <v>0.27139999999999997</v>
      </c>
    </row>
    <row r="159" spans="1:5" ht="12" customHeight="1" x14ac:dyDescent="0.25">
      <c r="A159" s="748"/>
      <c r="B159" s="676"/>
      <c r="C159" s="381" t="str">
        <f>'таланты+инициативы0,2714'!A251</f>
        <v>сучка кофр</v>
      </c>
      <c r="D159" s="63" t="str">
        <f>'натур показатели патриотика'!D170</f>
        <v>шт</v>
      </c>
      <c r="E159" s="492">
        <f>'таланты+инициативы0,2714'!D251</f>
        <v>0.27139999999999997</v>
      </c>
    </row>
    <row r="160" spans="1:5" ht="12" customHeight="1" x14ac:dyDescent="0.25">
      <c r="A160" s="748"/>
      <c r="B160" s="676"/>
      <c r="C160" s="381" t="str">
        <f>'таланты+инициативы0,2714'!A252</f>
        <v>Бумага А4 офисная</v>
      </c>
      <c r="D160" s="63" t="str">
        <f>'натур показатели патриотика'!D171</f>
        <v>шт</v>
      </c>
      <c r="E160" s="492">
        <f>'таланты+инициативы0,2714'!D252</f>
        <v>21.711999999999996</v>
      </c>
    </row>
    <row r="161" spans="1:5" ht="12" customHeight="1" x14ac:dyDescent="0.25">
      <c r="A161" s="748"/>
      <c r="B161" s="676"/>
      <c r="C161" s="381" t="str">
        <f>'таланты+инициативы0,2714'!A253</f>
        <v>Фотобумага А4 глянцевая</v>
      </c>
      <c r="D161" s="63" t="str">
        <f>'натур показатели патриотика'!D172</f>
        <v>шт</v>
      </c>
      <c r="E161" s="492">
        <f>'таланты+инициативы0,2714'!D253</f>
        <v>12.484399999999999</v>
      </c>
    </row>
    <row r="162" spans="1:5" ht="12" customHeight="1" x14ac:dyDescent="0.25">
      <c r="A162" s="748"/>
      <c r="B162" s="676"/>
      <c r="C162" s="381" t="str">
        <f>'таланты+инициативы0,2714'!A254</f>
        <v>Карта памяти Kingston для экшн камеры</v>
      </c>
      <c r="D162" s="63" t="str">
        <f>'натур показатели патриотика'!D173</f>
        <v>шт</v>
      </c>
      <c r="E162" s="492">
        <f>'таланты+инициативы0,2714'!D254</f>
        <v>0.27139999999999997</v>
      </c>
    </row>
    <row r="163" spans="1:5" ht="12" customHeight="1" x14ac:dyDescent="0.25">
      <c r="A163" s="748"/>
      <c r="B163" s="676"/>
      <c r="C163" s="381" t="str">
        <f>'таланты+инициативы0,2714'!A255</f>
        <v>Фоторамки</v>
      </c>
      <c r="D163" s="63" t="str">
        <f>'натур показатели патриотика'!D174</f>
        <v>шт</v>
      </c>
      <c r="E163" s="492">
        <f>'таланты+инициативы0,2714'!D255</f>
        <v>54.279999999999994</v>
      </c>
    </row>
    <row r="164" spans="1:5" ht="12" customHeight="1" x14ac:dyDescent="0.25">
      <c r="A164" s="748"/>
      <c r="B164" s="676"/>
      <c r="C164" s="381" t="str">
        <f>'таланты+инициативы0,2714'!A256</f>
        <v>Мышь USB</v>
      </c>
      <c r="D164" s="63" t="str">
        <f>'натур показатели патриотика'!D175</f>
        <v>шт</v>
      </c>
      <c r="E164" s="492">
        <f>'таланты+инициативы0,2714'!D256</f>
        <v>1.0855999999999999</v>
      </c>
    </row>
    <row r="165" spans="1:5" ht="12" customHeight="1" x14ac:dyDescent="0.25">
      <c r="A165" s="748"/>
      <c r="B165" s="676"/>
      <c r="C165" s="381" t="str">
        <f>'таланты+инициативы0,2714'!A257</f>
        <v>Фанера</v>
      </c>
      <c r="D165" s="63" t="str">
        <f>'натур показатели патриотика'!D176</f>
        <v>шт</v>
      </c>
      <c r="E165" s="492">
        <f>'таланты+инициативы0,2714'!D257</f>
        <v>10.855999999999998</v>
      </c>
    </row>
    <row r="166" spans="1:5" ht="12" customHeight="1" x14ac:dyDescent="0.25">
      <c r="A166" s="748"/>
      <c r="B166" s="676"/>
      <c r="C166" s="381" t="str">
        <f>'таланты+инициативы0,2714'!A258</f>
        <v>Труба профильная</v>
      </c>
      <c r="D166" s="63" t="str">
        <f>'натур показатели патриотика'!D177</f>
        <v>шт</v>
      </c>
      <c r="E166" s="492">
        <f>'таланты+инициативы0,2714'!D258</f>
        <v>18.997999999999998</v>
      </c>
    </row>
    <row r="167" spans="1:5" ht="12" customHeight="1" x14ac:dyDescent="0.25">
      <c r="A167" s="748"/>
      <c r="B167" s="676"/>
      <c r="C167" s="381" t="str">
        <f>'таланты+инициативы0,2714'!A259</f>
        <v>Фанера березовая шлифованная</v>
      </c>
      <c r="D167" s="63" t="str">
        <f>'натур показатели патриотика'!D178</f>
        <v>шт</v>
      </c>
      <c r="E167" s="492">
        <f>'таланты+инициативы0,2714'!D259</f>
        <v>2.7139999999999995</v>
      </c>
    </row>
    <row r="168" spans="1:5" ht="12" customHeight="1" x14ac:dyDescent="0.25">
      <c r="A168" s="748"/>
      <c r="B168" s="676"/>
      <c r="C168" s="381" t="str">
        <f>'таланты+инициативы0,2714'!A260</f>
        <v>Чернозем для клумб</v>
      </c>
      <c r="D168" s="63" t="str">
        <f>'натур показатели патриотика'!D179</f>
        <v>шт</v>
      </c>
      <c r="E168" s="492">
        <f>'таланты+инициативы0,2714'!D260</f>
        <v>0.54279999999999995</v>
      </c>
    </row>
    <row r="169" spans="1:5" ht="12" customHeight="1" x14ac:dyDescent="0.25">
      <c r="A169" s="748"/>
      <c r="B169" s="676"/>
      <c r="C169" s="381" t="str">
        <f>'таланты+инициативы0,2714'!A261</f>
        <v>Кисти</v>
      </c>
      <c r="D169" s="63" t="str">
        <f>'натур показатели патриотика'!D180</f>
        <v>шт</v>
      </c>
      <c r="E169" s="492">
        <f>'таланты+инициативы0,2714'!D261</f>
        <v>10.855999999999998</v>
      </c>
    </row>
    <row r="170" spans="1:5" ht="12" customHeight="1" x14ac:dyDescent="0.25">
      <c r="A170" s="748"/>
      <c r="B170" s="676"/>
      <c r="C170" s="381" t="str">
        <f>'таланты+инициативы0,2714'!A262</f>
        <v>краска кудо</v>
      </c>
      <c r="D170" s="63" t="str">
        <f>'натур показатели патриотика'!D181</f>
        <v>шт</v>
      </c>
      <c r="E170" s="492">
        <f>'таланты+инициативы0,2714'!D262</f>
        <v>2.7139999999999995</v>
      </c>
    </row>
    <row r="171" spans="1:5" ht="12" customHeight="1" x14ac:dyDescent="0.25">
      <c r="A171" s="748"/>
      <c r="B171" s="676"/>
      <c r="C171" s="381" t="str">
        <f>'таланты+инициативы0,2714'!A263</f>
        <v>Валик+ванночка</v>
      </c>
      <c r="D171" s="63" t="str">
        <f>'натур показатели патриотика'!D182</f>
        <v>шт</v>
      </c>
      <c r="E171" s="492">
        <f>'таланты+инициативы0,2714'!D263</f>
        <v>2.7139999999999995</v>
      </c>
    </row>
    <row r="172" spans="1:5" ht="12" customHeight="1" x14ac:dyDescent="0.25">
      <c r="A172" s="748"/>
      <c r="B172" s="676"/>
      <c r="C172" s="381" t="str">
        <f>'таланты+инициативы0,2714'!A264</f>
        <v>Ножницыы</v>
      </c>
      <c r="D172" s="63" t="str">
        <f>'натур показатели патриотика'!D183</f>
        <v>шт</v>
      </c>
      <c r="E172" s="492">
        <f>'таланты+инициативы0,2714'!D264</f>
        <v>2.7139999999999995</v>
      </c>
    </row>
    <row r="173" spans="1:5" ht="12" customHeight="1" x14ac:dyDescent="0.25">
      <c r="A173" s="748"/>
      <c r="B173" s="676"/>
      <c r="C173" s="381" t="str">
        <f>'таланты+инициативы0,2714'!A265</f>
        <v>Бумага А4</v>
      </c>
      <c r="D173" s="63" t="str">
        <f>'натур показатели патриотика'!D184</f>
        <v>шт</v>
      </c>
      <c r="E173" s="492">
        <f>'таланты+инициативы0,2714'!D265</f>
        <v>27.139999999999997</v>
      </c>
    </row>
    <row r="174" spans="1:5" ht="12" customHeight="1" x14ac:dyDescent="0.25">
      <c r="A174" s="748"/>
      <c r="B174" s="676"/>
      <c r="C174" s="381" t="str">
        <f>'таланты+инициативы0,2714'!A266</f>
        <v>Грабли, лопаты</v>
      </c>
      <c r="D174" s="63" t="str">
        <f>'натур показатели патриотика'!D185</f>
        <v>шт</v>
      </c>
      <c r="E174" s="492">
        <f>'таланты+инициативы0,2714'!D266</f>
        <v>2.7139999999999995</v>
      </c>
    </row>
    <row r="175" spans="1:5" ht="12" customHeight="1" x14ac:dyDescent="0.25">
      <c r="A175" s="748"/>
      <c r="B175" s="676"/>
      <c r="C175" s="381" t="str">
        <f>'таланты+инициативы0,2714'!A267</f>
        <v>ГСМ Бензин</v>
      </c>
      <c r="D175" s="63" t="str">
        <f>'натур показатели патриотика'!D186</f>
        <v>шт</v>
      </c>
      <c r="E175" s="492">
        <f>'таланты+инициативы0,2714'!D267</f>
        <v>705.64</v>
      </c>
    </row>
    <row r="176" spans="1:5" ht="12" customHeight="1" x14ac:dyDescent="0.25">
      <c r="A176" s="748"/>
      <c r="B176" s="676"/>
      <c r="C176" s="381" t="str">
        <f>'таланты+инициативы0,2714'!A268</f>
        <v>Набор для ухода за оптикой</v>
      </c>
      <c r="D176" s="63" t="str">
        <f>'натур показатели патриотика'!D187</f>
        <v>шт</v>
      </c>
      <c r="E176" s="492">
        <f>'таланты+инициативы0,2714'!D268</f>
        <v>0.27139999999999997</v>
      </c>
    </row>
    <row r="177" spans="1:5" ht="12" customHeight="1" x14ac:dyDescent="0.25">
      <c r="A177" s="748"/>
      <c r="B177" s="676"/>
      <c r="C177" s="381" t="str">
        <f>'таланты+инициативы0,2714'!A269</f>
        <v>Фотосумка</v>
      </c>
      <c r="D177" s="63" t="str">
        <f>'натур показатели патриотика'!D188</f>
        <v>шт</v>
      </c>
      <c r="E177" s="492">
        <f>'таланты+инициативы0,2714'!D269</f>
        <v>0.27139999999999997</v>
      </c>
    </row>
    <row r="178" spans="1:5" ht="12" customHeight="1" x14ac:dyDescent="0.25">
      <c r="A178" s="748"/>
      <c r="B178" s="676"/>
      <c r="C178" s="381" t="str">
        <f>'таланты+инициативы0,2714'!A270</f>
        <v>Карта памяти Kingston для экшн камеры</v>
      </c>
      <c r="D178" s="63" t="str">
        <f>'натур показатели патриотика'!D189</f>
        <v>шт</v>
      </c>
      <c r="E178" s="492">
        <f>'таланты+инициативы0,2714'!D270</f>
        <v>0.27139999999999997</v>
      </c>
    </row>
    <row r="179" spans="1:5" ht="12" customHeight="1" x14ac:dyDescent="0.25">
      <c r="A179" s="748"/>
      <c r="B179" s="676"/>
      <c r="C179" s="381" t="str">
        <f>'таланты+инициативы0,2714'!A271</f>
        <v>Карта памяти экспресс</v>
      </c>
      <c r="D179" s="63" t="str">
        <f>'натур показатели патриотика'!D190</f>
        <v>шт</v>
      </c>
      <c r="E179" s="492">
        <f>'таланты+инициативы0,2714'!D271</f>
        <v>0.27139999999999997</v>
      </c>
    </row>
    <row r="180" spans="1:5" ht="12" customHeight="1" x14ac:dyDescent="0.25">
      <c r="A180" s="748"/>
      <c r="B180" s="676"/>
      <c r="C180" s="381" t="str">
        <f>'таланты+инициативы0,2714'!A272</f>
        <v>Карт ридер</v>
      </c>
      <c r="D180" s="63" t="str">
        <f>'натур показатели патриотика'!D191</f>
        <v>шт</v>
      </c>
      <c r="E180" s="492">
        <f>'таланты+инициативы0,2714'!D272</f>
        <v>0.27139999999999997</v>
      </c>
    </row>
  </sheetData>
  <mergeCells count="18">
    <mergeCell ref="C77:E77"/>
    <mergeCell ref="C85:E85"/>
    <mergeCell ref="C90:E90"/>
    <mergeCell ref="C92:E92"/>
    <mergeCell ref="A7:A180"/>
    <mergeCell ref="B7:B180"/>
    <mergeCell ref="C11:E11"/>
    <mergeCell ref="C15:E15"/>
    <mergeCell ref="C39:E39"/>
    <mergeCell ref="C96:E96"/>
    <mergeCell ref="C98:E98"/>
    <mergeCell ref="C40:E40"/>
    <mergeCell ref="C47:E47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275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5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76" t="str">
        <f>'патриотика0,3643'!A1</f>
        <v>Учреждение: Муниципальное бюджетное учреждение  «Молодежный центр » Северо- Енисейского района</v>
      </c>
      <c r="B1" s="776"/>
      <c r="C1" s="776"/>
      <c r="D1" s="776"/>
      <c r="E1" s="776"/>
      <c r="F1" s="776"/>
      <c r="G1" s="776"/>
      <c r="H1" s="776"/>
      <c r="I1" s="776"/>
    </row>
    <row r="2" spans="1:9" ht="16.5" x14ac:dyDescent="0.25">
      <c r="A2" s="322" t="s">
        <v>450</v>
      </c>
      <c r="B2" s="322"/>
      <c r="C2" s="322"/>
      <c r="D2" s="322"/>
      <c r="E2" s="322"/>
      <c r="F2" s="322"/>
      <c r="G2" s="322"/>
      <c r="H2" s="322"/>
      <c r="I2" s="322"/>
    </row>
    <row r="3" spans="1:9" ht="58.15" customHeight="1" x14ac:dyDescent="0.25">
      <c r="A3" s="80" t="s">
        <v>214</v>
      </c>
      <c r="B3" s="777" t="s">
        <v>125</v>
      </c>
      <c r="C3" s="777"/>
      <c r="D3" s="777"/>
      <c r="E3" s="777"/>
      <c r="F3" s="777"/>
      <c r="G3" s="777"/>
      <c r="H3" s="777"/>
      <c r="I3" s="777"/>
    </row>
    <row r="4" spans="1:9" ht="15.75" x14ac:dyDescent="0.25">
      <c r="A4" s="723" t="s">
        <v>280</v>
      </c>
      <c r="B4" s="723"/>
      <c r="C4" s="723"/>
      <c r="D4" s="723"/>
      <c r="E4" s="723"/>
      <c r="F4" s="6"/>
      <c r="G4" s="159"/>
      <c r="H4" s="6"/>
      <c r="I4" s="6"/>
    </row>
    <row r="5" spans="1:9" ht="15.75" x14ac:dyDescent="0.25">
      <c r="A5" s="724" t="s">
        <v>43</v>
      </c>
      <c r="B5" s="724"/>
      <c r="C5" s="724"/>
      <c r="D5" s="724"/>
      <c r="E5" s="724"/>
      <c r="F5" s="6"/>
      <c r="G5" s="159"/>
      <c r="H5" s="6"/>
      <c r="I5" s="6"/>
    </row>
    <row r="6" spans="1:9" ht="15.75" x14ac:dyDescent="0.25">
      <c r="A6" s="724" t="s">
        <v>199</v>
      </c>
      <c r="B6" s="724"/>
      <c r="C6" s="724"/>
      <c r="D6" s="724"/>
      <c r="E6" s="724"/>
      <c r="F6" s="6"/>
      <c r="G6" s="159"/>
      <c r="H6" s="6"/>
      <c r="I6" s="6"/>
    </row>
    <row r="7" spans="1:9" ht="15.75" x14ac:dyDescent="0.25">
      <c r="A7" s="572" t="s">
        <v>218</v>
      </c>
      <c r="B7" s="572"/>
      <c r="C7" s="572"/>
      <c r="D7" s="572"/>
      <c r="E7" s="572"/>
      <c r="F7" s="6"/>
      <c r="G7" s="159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73" t="s">
        <v>10</v>
      </c>
      <c r="E8" s="574"/>
      <c r="F8" s="277" t="s">
        <v>9</v>
      </c>
      <c r="G8" s="159"/>
      <c r="H8" s="6"/>
      <c r="I8" s="6"/>
    </row>
    <row r="9" spans="1:9" ht="15.75" x14ac:dyDescent="0.25">
      <c r="A9" s="95"/>
      <c r="B9" s="317"/>
      <c r="C9" s="317"/>
      <c r="D9" s="575" t="str">
        <f>'инновации+добровольчество0,3643'!D10:E10</f>
        <v>Заведующий МЦ</v>
      </c>
      <c r="E9" s="576"/>
      <c r="F9" s="66">
        <v>1</v>
      </c>
      <c r="G9" s="159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17">
        <v>5.6</v>
      </c>
      <c r="C10" s="317"/>
      <c r="D10" s="577" t="str">
        <f>'[1]2016'!$AE$25</f>
        <v>Водитель</v>
      </c>
      <c r="E10" s="578"/>
      <c r="F10" s="317">
        <v>1</v>
      </c>
      <c r="G10" s="159"/>
      <c r="H10" s="6"/>
      <c r="I10" s="6"/>
    </row>
    <row r="11" spans="1:9" ht="15.75" x14ac:dyDescent="0.25">
      <c r="A11" s="64" t="s">
        <v>93</v>
      </c>
      <c r="B11" s="317">
        <v>1</v>
      </c>
      <c r="C11" s="317"/>
      <c r="D11" s="577" t="s">
        <v>87</v>
      </c>
      <c r="E11" s="578"/>
      <c r="F11" s="317">
        <v>0.5</v>
      </c>
      <c r="G11" s="159"/>
      <c r="H11" s="6"/>
      <c r="I11" s="6"/>
    </row>
    <row r="12" spans="1:9" ht="15.75" x14ac:dyDescent="0.25">
      <c r="A12" s="95"/>
      <c r="B12" s="317"/>
      <c r="C12" s="317"/>
      <c r="D12" s="577" t="str">
        <f>'[1]2016'!$AE$26</f>
        <v xml:space="preserve">Уборщик служебных помещений </v>
      </c>
      <c r="E12" s="578"/>
      <c r="F12" s="317">
        <v>1</v>
      </c>
      <c r="G12" s="159"/>
      <c r="H12" s="6"/>
      <c r="I12" s="6"/>
    </row>
    <row r="13" spans="1:9" ht="15.75" x14ac:dyDescent="0.25">
      <c r="A13" s="67" t="s">
        <v>57</v>
      </c>
      <c r="B13" s="68">
        <f>SUM(B9:B11)</f>
        <v>6.6</v>
      </c>
      <c r="C13" s="67"/>
      <c r="D13" s="579" t="s">
        <v>57</v>
      </c>
      <c r="E13" s="580"/>
      <c r="F13" s="68">
        <f>SUM(F9:F12)</f>
        <v>3.5</v>
      </c>
      <c r="G13" s="159"/>
      <c r="H13" s="6"/>
      <c r="I13" s="6"/>
    </row>
    <row r="14" spans="1:9" ht="36" customHeight="1" x14ac:dyDescent="0.25">
      <c r="A14" s="729" t="s">
        <v>217</v>
      </c>
      <c r="B14" s="729"/>
      <c r="C14" s="729"/>
      <c r="D14" s="729"/>
      <c r="E14" s="729"/>
      <c r="F14" s="729"/>
      <c r="G14" s="729"/>
      <c r="H14" s="729"/>
      <c r="I14" s="729"/>
    </row>
    <row r="15" spans="1:9" ht="15.75" x14ac:dyDescent="0.25">
      <c r="A15" s="734" t="s">
        <v>311</v>
      </c>
      <c r="B15" s="734"/>
      <c r="C15" s="734"/>
      <c r="D15" s="734"/>
      <c r="E15" s="734"/>
      <c r="F15" s="734"/>
      <c r="G15" s="159"/>
      <c r="H15" s="6"/>
      <c r="I15" s="6"/>
    </row>
    <row r="16" spans="1:9" ht="15.75" x14ac:dyDescent="0.25">
      <c r="A16" s="9" t="s">
        <v>312</v>
      </c>
      <c r="B16" s="9"/>
      <c r="C16" s="9"/>
      <c r="D16" s="9"/>
      <c r="E16" s="6"/>
      <c r="F16" s="6"/>
      <c r="G16" s="159"/>
      <c r="H16" s="6"/>
      <c r="I16" s="6"/>
    </row>
    <row r="17" spans="1:12" ht="30" customHeight="1" x14ac:dyDescent="0.25">
      <c r="A17" s="735" t="s">
        <v>45</v>
      </c>
      <c r="B17" s="735"/>
      <c r="C17" s="735"/>
      <c r="D17" s="735"/>
      <c r="E17" s="735"/>
      <c r="F17" s="735"/>
      <c r="G17" s="159"/>
      <c r="H17" s="6"/>
      <c r="I17" s="6"/>
    </row>
    <row r="18" spans="1:12" ht="15.75" x14ac:dyDescent="0.25">
      <c r="A18" s="733"/>
      <c r="B18" s="733"/>
      <c r="C18" s="315"/>
      <c r="D18" s="148">
        <v>0.27139999999999997</v>
      </c>
      <c r="E18" s="148"/>
      <c r="F18" s="6"/>
      <c r="G18" s="159"/>
      <c r="H18" s="6"/>
      <c r="I18" s="6"/>
    </row>
    <row r="19" spans="1:12" ht="31.5" x14ac:dyDescent="0.25">
      <c r="A19" s="703" t="s">
        <v>0</v>
      </c>
      <c r="B19" s="703" t="s">
        <v>1</v>
      </c>
      <c r="C19" s="307"/>
      <c r="D19" s="703" t="s">
        <v>2</v>
      </c>
      <c r="E19" s="704" t="s">
        <v>3</v>
      </c>
      <c r="F19" s="705"/>
      <c r="G19" s="778" t="s">
        <v>35</v>
      </c>
      <c r="H19" s="307" t="s">
        <v>5</v>
      </c>
      <c r="I19" s="703" t="s">
        <v>6</v>
      </c>
    </row>
    <row r="20" spans="1:12" ht="15.75" x14ac:dyDescent="0.25">
      <c r="A20" s="703"/>
      <c r="B20" s="703"/>
      <c r="C20" s="307"/>
      <c r="D20" s="703"/>
      <c r="E20" s="307" t="s">
        <v>301</v>
      </c>
      <c r="F20" s="726" t="s">
        <v>313</v>
      </c>
      <c r="G20" s="778"/>
      <c r="H20" s="94" t="s">
        <v>171</v>
      </c>
      <c r="I20" s="703"/>
    </row>
    <row r="21" spans="1:12" ht="15.75" x14ac:dyDescent="0.25">
      <c r="A21" s="703"/>
      <c r="B21" s="703"/>
      <c r="C21" s="307"/>
      <c r="D21" s="703"/>
      <c r="E21" s="307" t="s">
        <v>4</v>
      </c>
      <c r="F21" s="727"/>
      <c r="G21" s="778"/>
      <c r="H21" s="307" t="s">
        <v>303</v>
      </c>
      <c r="I21" s="703"/>
    </row>
    <row r="22" spans="1:12" ht="15.75" x14ac:dyDescent="0.25">
      <c r="A22" s="703">
        <v>1</v>
      </c>
      <c r="B22" s="703">
        <v>2</v>
      </c>
      <c r="C22" s="307"/>
      <c r="D22" s="703">
        <v>3</v>
      </c>
      <c r="E22" s="703" t="s">
        <v>302</v>
      </c>
      <c r="F22" s="703">
        <v>5</v>
      </c>
      <c r="G22" s="547" t="s">
        <v>7</v>
      </c>
      <c r="H22" s="94" t="s">
        <v>172</v>
      </c>
      <c r="I22" s="546" t="s">
        <v>173</v>
      </c>
    </row>
    <row r="23" spans="1:12" ht="15.75" x14ac:dyDescent="0.25">
      <c r="A23" s="703"/>
      <c r="B23" s="703"/>
      <c r="C23" s="307"/>
      <c r="D23" s="703"/>
      <c r="E23" s="703"/>
      <c r="F23" s="703"/>
      <c r="G23" s="547"/>
      <c r="H23" s="50">
        <v>1775.4</v>
      </c>
      <c r="I23" s="546"/>
      <c r="J23" s="429">
        <f>I26+I103</f>
        <v>2582673.7791875359</v>
      </c>
      <c r="K23" s="171"/>
      <c r="L23" s="6"/>
    </row>
    <row r="24" spans="1:12" ht="15.75" x14ac:dyDescent="0.25">
      <c r="A24" s="69" t="str">
        <f>'патриотика0,3643'!A24</f>
        <v>Методист</v>
      </c>
      <c r="B24" s="81">
        <v>76206.899999999994</v>
      </c>
      <c r="C24" s="81"/>
      <c r="D24" s="307">
        <f>1*D18</f>
        <v>0.27139999999999997</v>
      </c>
      <c r="E24" s="70">
        <f>D24*1775.4</f>
        <v>481.84355999999997</v>
      </c>
      <c r="F24" s="71">
        <v>1</v>
      </c>
      <c r="G24" s="73">
        <f>E24/F24</f>
        <v>481.84355999999997</v>
      </c>
      <c r="H24" s="70">
        <f>B24*1.302/1775.4*12</f>
        <v>670.64132342007429</v>
      </c>
      <c r="I24" s="431">
        <f>G24*H24+6500</f>
        <v>329644.20275983994</v>
      </c>
      <c r="J24" s="275">
        <v>2544642.41</v>
      </c>
      <c r="K24" s="170" t="s">
        <v>105</v>
      </c>
      <c r="L24" s="6"/>
    </row>
    <row r="25" spans="1:12" ht="15.75" x14ac:dyDescent="0.25">
      <c r="A25" s="72" t="str">
        <f>A10</f>
        <v>Специалист по работе с молодежью</v>
      </c>
      <c r="B25" s="169">
        <v>54332.9</v>
      </c>
      <c r="C25" s="169"/>
      <c r="D25" s="307">
        <f>D18*5.6</f>
        <v>1.5198399999999999</v>
      </c>
      <c r="E25" s="70">
        <f>D25*1775.4</f>
        <v>2698.3239359999998</v>
      </c>
      <c r="F25" s="71">
        <v>1</v>
      </c>
      <c r="G25" s="73">
        <f>E25/F25</f>
        <v>2698.3239359999998</v>
      </c>
      <c r="H25" s="70">
        <f>B25*1.302/1775.4*12</f>
        <v>478.14420953024671</v>
      </c>
      <c r="I25" s="431">
        <f>G25*H25+5985.07+16000</f>
        <v>1312173.035435264</v>
      </c>
      <c r="J25" s="430">
        <f>J23-J24</f>
        <v>38031.369187535718</v>
      </c>
      <c r="K25" s="170" t="s">
        <v>117</v>
      </c>
      <c r="L25" s="6"/>
    </row>
    <row r="26" spans="1:12" ht="18.75" x14ac:dyDescent="0.3">
      <c r="A26" s="69" t="s">
        <v>92</v>
      </c>
      <c r="B26" s="73"/>
      <c r="C26" s="73"/>
      <c r="D26" s="307"/>
      <c r="E26" s="70"/>
      <c r="F26" s="71"/>
      <c r="G26" s="177"/>
      <c r="H26" s="152"/>
      <c r="I26" s="432">
        <f>SUM(I24:I25)</f>
        <v>1641817.2381951041</v>
      </c>
      <c r="L26" s="175"/>
    </row>
    <row r="27" spans="1:12" s="6" customFormat="1" ht="16.5" hidden="1" x14ac:dyDescent="0.25">
      <c r="A27" s="603" t="s">
        <v>166</v>
      </c>
      <c r="B27" s="603"/>
      <c r="C27" s="603"/>
      <c r="D27" s="603"/>
      <c r="E27" s="603"/>
      <c r="F27" s="603"/>
      <c r="G27" s="603"/>
      <c r="H27" s="603"/>
      <c r="I27" s="172"/>
      <c r="J27" s="170"/>
      <c r="K27" s="171"/>
    </row>
    <row r="28" spans="1:12" s="6" customFormat="1" ht="16.5" hidden="1" x14ac:dyDescent="0.25">
      <c r="A28" s="549" t="s">
        <v>60</v>
      </c>
      <c r="B28" s="582" t="s">
        <v>155</v>
      </c>
      <c r="C28" s="582"/>
      <c r="D28" s="582" t="s">
        <v>156</v>
      </c>
      <c r="E28" s="582"/>
      <c r="F28" s="582"/>
      <c r="G28" s="583"/>
      <c r="H28" s="583"/>
      <c r="I28" s="172"/>
      <c r="J28" s="170"/>
      <c r="K28" s="171"/>
    </row>
    <row r="29" spans="1:12" s="6" customFormat="1" ht="16.5" hidden="1" x14ac:dyDescent="0.25">
      <c r="A29" s="550"/>
      <c r="B29" s="582"/>
      <c r="C29" s="582"/>
      <c r="D29" s="582" t="s">
        <v>157</v>
      </c>
      <c r="E29" s="549" t="s">
        <v>158</v>
      </c>
      <c r="F29" s="584" t="s">
        <v>159</v>
      </c>
      <c r="G29" s="549" t="s">
        <v>165</v>
      </c>
      <c r="H29" s="549" t="s">
        <v>6</v>
      </c>
      <c r="I29" s="172"/>
      <c r="J29" s="170"/>
      <c r="K29" s="171"/>
    </row>
    <row r="30" spans="1:12" s="6" customFormat="1" ht="16.5" hidden="1" x14ac:dyDescent="0.25">
      <c r="A30" s="551"/>
      <c r="B30" s="582"/>
      <c r="C30" s="582"/>
      <c r="D30" s="582"/>
      <c r="E30" s="551"/>
      <c r="F30" s="584"/>
      <c r="G30" s="551"/>
      <c r="H30" s="551"/>
      <c r="I30" s="172"/>
      <c r="J30" s="170"/>
      <c r="K30" s="171"/>
    </row>
    <row r="31" spans="1:12" s="6" customFormat="1" ht="16.5" hidden="1" x14ac:dyDescent="0.25">
      <c r="A31" s="208">
        <v>1</v>
      </c>
      <c r="B31" s="563">
        <v>2</v>
      </c>
      <c r="C31" s="564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2"/>
      <c r="J31" s="170"/>
      <c r="K31" s="171"/>
    </row>
    <row r="32" spans="1:12" s="6" customFormat="1" ht="16.5" hidden="1" x14ac:dyDescent="0.25">
      <c r="A32" s="207" t="s">
        <v>93</v>
      </c>
      <c r="B32" s="207">
        <v>0.24</v>
      </c>
      <c r="C32" s="283">
        <v>1</v>
      </c>
      <c r="D32" s="142">
        <v>2074.6</v>
      </c>
      <c r="E32" s="106">
        <f t="shared" ref="E32:E33" si="0">D32*12</f>
        <v>24895.199999999997</v>
      </c>
      <c r="F32" s="142">
        <f>18363.9*0.24</f>
        <v>4407.3360000000002</v>
      </c>
      <c r="G32" s="173">
        <f>F32*30.2%</f>
        <v>1331.015472</v>
      </c>
      <c r="H32" s="173">
        <f>F32+G32</f>
        <v>5738.3514720000003</v>
      </c>
      <c r="I32" s="172"/>
    </row>
    <row r="33" spans="1:11" s="6" customFormat="1" ht="15.6" hidden="1" customHeight="1" x14ac:dyDescent="0.25">
      <c r="A33" s="207" t="s">
        <v>161</v>
      </c>
      <c r="B33" s="563">
        <f>5.6*0.24</f>
        <v>1.3439999999999999</v>
      </c>
      <c r="C33" s="564"/>
      <c r="D33" s="142">
        <f>1302.85*B33</f>
        <v>1751.0303999999996</v>
      </c>
      <c r="E33" s="106">
        <f t="shared" si="0"/>
        <v>21012.364799999996</v>
      </c>
      <c r="F33" s="142">
        <f>64311.87*0.24</f>
        <v>15434.8488</v>
      </c>
      <c r="G33" s="173">
        <f>F33*30.2%</f>
        <v>4661.3243376</v>
      </c>
      <c r="H33" s="173">
        <f>F33+G33</f>
        <v>20096.173137599999</v>
      </c>
    </row>
    <row r="34" spans="1:11" s="6" customFormat="1" ht="18.75" hidden="1" x14ac:dyDescent="0.25">
      <c r="A34" s="282"/>
      <c r="B34" s="581">
        <f>SUM(B32:C33)</f>
        <v>2.5839999999999996</v>
      </c>
      <c r="C34" s="581"/>
      <c r="D34" s="119">
        <f>SUM(D32:D33)</f>
        <v>3825.6303999999996</v>
      </c>
      <c r="E34" s="119">
        <f>SUM(E32:E33)</f>
        <v>45907.564799999993</v>
      </c>
      <c r="F34" s="119">
        <f>SUM(F32:F33)</f>
        <v>19842.184799999999</v>
      </c>
      <c r="G34" s="119">
        <f>SUM(G32:G33)</f>
        <v>5992.3398096000001</v>
      </c>
      <c r="H34" s="209"/>
      <c r="I34" s="159"/>
    </row>
    <row r="35" spans="1:11" ht="14.45" hidden="1" customHeight="1" x14ac:dyDescent="0.25">
      <c r="A35" s="603" t="s">
        <v>170</v>
      </c>
      <c r="B35" s="603"/>
      <c r="C35" s="603"/>
      <c r="D35" s="603"/>
      <c r="E35" s="603"/>
      <c r="F35" s="603"/>
      <c r="G35" s="603"/>
      <c r="H35" s="603"/>
      <c r="I35" s="143"/>
      <c r="J35" s="143"/>
    </row>
    <row r="36" spans="1:11" ht="28.9" hidden="1" customHeight="1" x14ac:dyDescent="0.25">
      <c r="A36" s="549" t="s">
        <v>60</v>
      </c>
      <c r="B36" s="582" t="s">
        <v>155</v>
      </c>
      <c r="C36" s="582"/>
      <c r="D36" s="558" t="s">
        <v>156</v>
      </c>
      <c r="E36" s="560"/>
      <c r="F36" s="284"/>
      <c r="G36" s="41"/>
    </row>
    <row r="37" spans="1:11" ht="14.45" hidden="1" customHeight="1" x14ac:dyDescent="0.25">
      <c r="A37" s="550"/>
      <c r="B37" s="582"/>
      <c r="C37" s="582"/>
      <c r="D37" s="582" t="s">
        <v>157</v>
      </c>
      <c r="E37" s="549" t="s">
        <v>165</v>
      </c>
      <c r="F37" s="549" t="s">
        <v>169</v>
      </c>
      <c r="G37" s="41"/>
    </row>
    <row r="38" spans="1:11" hidden="1" x14ac:dyDescent="0.25">
      <c r="A38" s="551"/>
      <c r="B38" s="582"/>
      <c r="C38" s="582"/>
      <c r="D38" s="582"/>
      <c r="E38" s="551"/>
      <c r="F38" s="551"/>
      <c r="G38" s="41"/>
    </row>
    <row r="39" spans="1:11" hidden="1" x14ac:dyDescent="0.25">
      <c r="A39" s="208">
        <v>1</v>
      </c>
      <c r="B39" s="563">
        <v>2</v>
      </c>
      <c r="C39" s="564"/>
      <c r="D39" s="208">
        <v>3</v>
      </c>
      <c r="E39" s="208">
        <v>6</v>
      </c>
      <c r="F39" s="208">
        <v>7</v>
      </c>
      <c r="G39" s="41"/>
    </row>
    <row r="40" spans="1:11" hidden="1" x14ac:dyDescent="0.25">
      <c r="A40" s="207" t="s">
        <v>161</v>
      </c>
      <c r="B40" s="563">
        <f>B33</f>
        <v>1.3439999999999999</v>
      </c>
      <c r="C40" s="564"/>
      <c r="D40" s="142">
        <v>4218.1400000000003</v>
      </c>
      <c r="E40" s="173">
        <f>D40*30.2%</f>
        <v>1273.8782800000001</v>
      </c>
      <c r="F40" s="173">
        <f>(E40+D40)*B40*12+8.27</f>
        <v>88583.540819839996</v>
      </c>
      <c r="G40" s="41"/>
    </row>
    <row r="41" spans="1:11" ht="18.75" hidden="1" x14ac:dyDescent="0.25">
      <c r="A41" s="282"/>
      <c r="B41" s="581">
        <f>SUM(B40:C40)</f>
        <v>1.3439999999999999</v>
      </c>
      <c r="C41" s="581"/>
      <c r="D41" s="119">
        <f>SUM(D40:D40)</f>
        <v>4218.1400000000003</v>
      </c>
      <c r="E41" s="119">
        <f>SUM(E40:E40)</f>
        <v>1273.8782800000001</v>
      </c>
      <c r="F41" s="209"/>
      <c r="G41" s="41"/>
    </row>
    <row r="42" spans="1:11" ht="15.75" hidden="1" x14ac:dyDescent="0.25">
      <c r="A42" s="729" t="s">
        <v>59</v>
      </c>
      <c r="B42" s="729"/>
      <c r="C42" s="729"/>
      <c r="D42" s="729"/>
      <c r="E42" s="729"/>
      <c r="F42" s="729"/>
      <c r="G42" s="159"/>
      <c r="H42" s="6"/>
      <c r="I42" s="6"/>
    </row>
    <row r="43" spans="1:11" ht="15.75" hidden="1" x14ac:dyDescent="0.25">
      <c r="A43" s="316" t="s">
        <v>81</v>
      </c>
      <c r="B43" s="6" t="str">
        <f>'инновации+добровольчество0,3643'!B48</f>
        <v>23 командировки</v>
      </c>
      <c r="C43" s="6"/>
      <c r="D43" s="6"/>
      <c r="E43" s="6"/>
      <c r="F43" s="6"/>
      <c r="G43" s="159"/>
      <c r="H43" s="6"/>
      <c r="I43" s="6"/>
      <c r="K43" s="175"/>
    </row>
    <row r="44" spans="1:11" ht="15.75" hidden="1" x14ac:dyDescent="0.25">
      <c r="A44" s="6"/>
      <c r="B44" s="6"/>
      <c r="C44" s="6"/>
      <c r="D44" s="150">
        <f>D18</f>
        <v>0.27139999999999997</v>
      </c>
      <c r="E44" s="6"/>
      <c r="F44" s="6"/>
      <c r="G44" s="159"/>
      <c r="H44" s="6"/>
      <c r="I44" s="6"/>
    </row>
    <row r="45" spans="1:11" ht="15.75" hidden="1" x14ac:dyDescent="0.25">
      <c r="A45" s="703" t="s">
        <v>120</v>
      </c>
      <c r="B45" s="703"/>
      <c r="C45" s="307"/>
      <c r="D45" s="703" t="s">
        <v>11</v>
      </c>
      <c r="E45" s="726" t="s">
        <v>48</v>
      </c>
      <c r="F45" s="726" t="s">
        <v>15</v>
      </c>
      <c r="G45" s="751" t="s">
        <v>6</v>
      </c>
      <c r="H45" s="6"/>
      <c r="I45" s="6"/>
    </row>
    <row r="46" spans="1:11" ht="7.15" hidden="1" customHeight="1" x14ac:dyDescent="0.25">
      <c r="A46" s="703"/>
      <c r="B46" s="703"/>
      <c r="C46" s="307"/>
      <c r="D46" s="703"/>
      <c r="E46" s="727"/>
      <c r="F46" s="727"/>
      <c r="G46" s="752"/>
      <c r="H46" s="6"/>
      <c r="I46" s="6"/>
    </row>
    <row r="47" spans="1:11" ht="15.75" hidden="1" x14ac:dyDescent="0.25">
      <c r="A47" s="704">
        <v>1</v>
      </c>
      <c r="B47" s="705"/>
      <c r="C47" s="308"/>
      <c r="D47" s="307">
        <v>2</v>
      </c>
      <c r="E47" s="323">
        <v>3</v>
      </c>
      <c r="F47" s="307">
        <v>4</v>
      </c>
      <c r="G47" s="77" t="s">
        <v>68</v>
      </c>
      <c r="H47" s="6"/>
      <c r="I47" s="6"/>
    </row>
    <row r="48" spans="1:11" ht="15.75" hidden="1" x14ac:dyDescent="0.25">
      <c r="A48" s="706" t="str">
        <f>'инновации+добровольчество0,3643'!A53</f>
        <v>Суточные</v>
      </c>
      <c r="B48" s="707"/>
      <c r="C48" s="310"/>
      <c r="D48" s="307" t="str">
        <f>'инновации+добровольчество0,3643'!D53</f>
        <v>сутки</v>
      </c>
      <c r="E48" s="320">
        <f>D44</f>
        <v>0.27139999999999997</v>
      </c>
      <c r="F48" s="320">
        <f>'инновации+добровольчество0,3643'!F53</f>
        <v>450</v>
      </c>
      <c r="G48" s="77">
        <f>E48*F48</f>
        <v>122.13</v>
      </c>
      <c r="H48" s="6"/>
      <c r="I48" s="6"/>
    </row>
    <row r="49" spans="1:12" ht="15.75" hidden="1" x14ac:dyDescent="0.25">
      <c r="A49" s="706" t="str">
        <f>'инновации+добровольчество0,3643'!A54</f>
        <v>Проезд</v>
      </c>
      <c r="B49" s="707"/>
      <c r="C49" s="310"/>
      <c r="D49" s="307" t="str">
        <f>'инновации+добровольчество0,3643'!D54</f>
        <v xml:space="preserve">Ед. </v>
      </c>
      <c r="E49" s="320">
        <f>D44</f>
        <v>0.27139999999999997</v>
      </c>
      <c r="F49" s="320">
        <f>'инновации+добровольчество0,3643'!F54</f>
        <v>8200</v>
      </c>
      <c r="G49" s="77">
        <f t="shared" ref="G49:G51" si="1">E49*F49</f>
        <v>2225.48</v>
      </c>
      <c r="H49" s="6"/>
      <c r="I49" s="6"/>
      <c r="L49" s="178"/>
    </row>
    <row r="50" spans="1:12" ht="15.75" hidden="1" x14ac:dyDescent="0.25">
      <c r="A50" s="706" t="str">
        <f>'инновации+добровольчество0,3643'!A55</f>
        <v xml:space="preserve">Проживание </v>
      </c>
      <c r="B50" s="707"/>
      <c r="C50" s="310"/>
      <c r="D50" s="307" t="str">
        <f>'инновации+добровольчество0,3643'!D55</f>
        <v>сутки</v>
      </c>
      <c r="E50" s="320">
        <f>D44</f>
        <v>0.27139999999999997</v>
      </c>
      <c r="F50" s="320">
        <f>'инновации+добровольчество0,3643'!F55</f>
        <v>2463.7600000000002</v>
      </c>
      <c r="G50" s="77">
        <f t="shared" si="1"/>
        <v>668.66446399999995</v>
      </c>
      <c r="H50" s="6"/>
      <c r="I50" s="6"/>
      <c r="L50" s="178"/>
    </row>
    <row r="51" spans="1:12" ht="15.75" hidden="1" x14ac:dyDescent="0.25">
      <c r="A51" s="309" t="e">
        <f>'инновации+добровольчество0,3643'!#REF!</f>
        <v>#REF!</v>
      </c>
      <c r="B51" s="310"/>
      <c r="C51" s="310"/>
      <c r="D51" s="307" t="e">
        <f>'инновации+добровольчество0,3643'!#REF!</f>
        <v>#REF!</v>
      </c>
      <c r="E51" s="320">
        <f>D44</f>
        <v>0.27139999999999997</v>
      </c>
      <c r="F51" s="320" t="e">
        <f>'инновации+добровольчество0,3643'!#REF!</f>
        <v>#REF!</v>
      </c>
      <c r="G51" s="77" t="e">
        <f t="shared" si="1"/>
        <v>#REF!</v>
      </c>
      <c r="H51" s="6"/>
      <c r="I51" s="6"/>
      <c r="L51" s="178"/>
    </row>
    <row r="52" spans="1:12" ht="18.75" hidden="1" x14ac:dyDescent="0.25">
      <c r="A52" s="737" t="s">
        <v>58</v>
      </c>
      <c r="B52" s="738"/>
      <c r="C52" s="318"/>
      <c r="D52" s="75"/>
      <c r="E52" s="75"/>
      <c r="F52" s="75"/>
      <c r="G52" s="252" t="e">
        <f>SUM(G48:G51)</f>
        <v>#REF!</v>
      </c>
      <c r="H52" s="6"/>
      <c r="I52" s="6"/>
      <c r="L52" s="175"/>
    </row>
    <row r="53" spans="1:12" ht="15.75" x14ac:dyDescent="0.25">
      <c r="A53" s="729" t="s">
        <v>124</v>
      </c>
      <c r="B53" s="729"/>
      <c r="C53" s="729"/>
      <c r="D53" s="729"/>
      <c r="E53" s="729"/>
      <c r="F53" s="729"/>
      <c r="G53" s="159"/>
      <c r="H53" s="6"/>
      <c r="I53" s="6"/>
    </row>
    <row r="54" spans="1:12" ht="15.75" x14ac:dyDescent="0.25">
      <c r="A54" s="6"/>
      <c r="B54" s="6"/>
      <c r="C54" s="6"/>
      <c r="D54" s="150"/>
      <c r="E54" s="6"/>
      <c r="F54" s="151">
        <v>1</v>
      </c>
      <c r="G54" s="159"/>
      <c r="H54" s="6"/>
      <c r="I54" s="6"/>
    </row>
    <row r="55" spans="1:12" ht="15.75" x14ac:dyDescent="0.25">
      <c r="A55" s="703" t="s">
        <v>120</v>
      </c>
      <c r="B55" s="703"/>
      <c r="C55" s="307"/>
      <c r="D55" s="703" t="s">
        <v>11</v>
      </c>
      <c r="E55" s="726" t="s">
        <v>48</v>
      </c>
      <c r="F55" s="726" t="s">
        <v>15</v>
      </c>
      <c r="G55" s="751" t="s">
        <v>6</v>
      </c>
      <c r="H55" s="6"/>
      <c r="I55" s="6"/>
    </row>
    <row r="56" spans="1:12" ht="13.9" customHeight="1" x14ac:dyDescent="0.25">
      <c r="A56" s="703"/>
      <c r="B56" s="703"/>
      <c r="C56" s="307"/>
      <c r="D56" s="703"/>
      <c r="E56" s="727"/>
      <c r="F56" s="727"/>
      <c r="G56" s="752"/>
      <c r="H56" s="6"/>
      <c r="I56" s="6"/>
    </row>
    <row r="57" spans="1:12" ht="15.75" x14ac:dyDescent="0.25">
      <c r="A57" s="704">
        <v>1</v>
      </c>
      <c r="B57" s="705"/>
      <c r="C57" s="308"/>
      <c r="D57" s="307">
        <v>2</v>
      </c>
      <c r="E57" s="307">
        <v>3</v>
      </c>
      <c r="F57" s="307">
        <v>4</v>
      </c>
      <c r="G57" s="77" t="s">
        <v>68</v>
      </c>
      <c r="H57" s="6"/>
      <c r="I57" s="6"/>
    </row>
    <row r="58" spans="1:12" ht="15.75" x14ac:dyDescent="0.25">
      <c r="A58" s="267" t="s">
        <v>220</v>
      </c>
      <c r="B58" s="488"/>
      <c r="C58" s="319"/>
      <c r="D58" s="307"/>
      <c r="E58" s="208"/>
      <c r="F58" s="283"/>
      <c r="G58" s="77"/>
      <c r="H58" s="6"/>
      <c r="I58" s="6"/>
    </row>
    <row r="59" spans="1:12" ht="15.75" x14ac:dyDescent="0.25">
      <c r="A59" s="489" t="s">
        <v>221</v>
      </c>
      <c r="B59" s="488"/>
      <c r="C59" s="319"/>
      <c r="D59" s="307" t="s">
        <v>123</v>
      </c>
      <c r="E59" s="92">
        <v>6</v>
      </c>
      <c r="F59" s="93">
        <v>450</v>
      </c>
      <c r="G59" s="77">
        <f t="shared" ref="G59:G80" si="2">E59*F59</f>
        <v>2700</v>
      </c>
      <c r="H59" s="6"/>
      <c r="I59" s="6"/>
    </row>
    <row r="60" spans="1:12" ht="42" customHeight="1" x14ac:dyDescent="0.25">
      <c r="A60" s="749" t="s">
        <v>427</v>
      </c>
      <c r="B60" s="750"/>
      <c r="C60" s="319"/>
      <c r="D60" s="307" t="s">
        <v>84</v>
      </c>
      <c r="E60" s="487">
        <v>90</v>
      </c>
      <c r="F60" s="487">
        <v>45</v>
      </c>
      <c r="G60" s="77">
        <f t="shared" si="2"/>
        <v>4050</v>
      </c>
      <c r="H60" s="6"/>
      <c r="I60" s="6"/>
    </row>
    <row r="61" spans="1:12" ht="15.75" x14ac:dyDescent="0.25">
      <c r="A61" s="749" t="s">
        <v>428</v>
      </c>
      <c r="B61" s="750"/>
      <c r="C61" s="319"/>
      <c r="D61" s="307" t="s">
        <v>84</v>
      </c>
      <c r="E61" s="487">
        <v>1</v>
      </c>
      <c r="F61" s="487">
        <v>1030</v>
      </c>
      <c r="G61" s="77">
        <f t="shared" si="2"/>
        <v>1030</v>
      </c>
      <c r="H61" s="6"/>
      <c r="I61" s="6"/>
    </row>
    <row r="62" spans="1:12" ht="15.75" x14ac:dyDescent="0.25">
      <c r="A62" s="749" t="s">
        <v>429</v>
      </c>
      <c r="B62" s="750"/>
      <c r="C62" s="319"/>
      <c r="D62" s="307" t="s">
        <v>84</v>
      </c>
      <c r="E62" s="487">
        <v>1</v>
      </c>
      <c r="F62" s="487">
        <v>1390</v>
      </c>
      <c r="G62" s="77">
        <f t="shared" si="2"/>
        <v>1390</v>
      </c>
      <c r="H62" s="6"/>
      <c r="I62" s="6"/>
    </row>
    <row r="63" spans="1:12" ht="15.75" x14ac:dyDescent="0.25">
      <c r="A63" s="749" t="s">
        <v>430</v>
      </c>
      <c r="B63" s="750"/>
      <c r="C63" s="319"/>
      <c r="D63" s="307" t="s">
        <v>84</v>
      </c>
      <c r="E63" s="487">
        <v>3</v>
      </c>
      <c r="F63" s="487">
        <v>690</v>
      </c>
      <c r="G63" s="77">
        <f t="shared" si="2"/>
        <v>2070</v>
      </c>
      <c r="H63" s="6"/>
      <c r="I63" s="6"/>
    </row>
    <row r="64" spans="1:12" ht="15.75" x14ac:dyDescent="0.25">
      <c r="A64" s="749" t="s">
        <v>431</v>
      </c>
      <c r="B64" s="750"/>
      <c r="C64" s="319"/>
      <c r="D64" s="307" t="s">
        <v>84</v>
      </c>
      <c r="E64" s="487">
        <v>6</v>
      </c>
      <c r="F64" s="487">
        <v>490</v>
      </c>
      <c r="G64" s="77">
        <f t="shared" si="2"/>
        <v>2940</v>
      </c>
      <c r="H64" s="6"/>
      <c r="I64" s="6"/>
    </row>
    <row r="65" spans="1:9" ht="15.75" x14ac:dyDescent="0.25">
      <c r="A65" s="749" t="s">
        <v>432</v>
      </c>
      <c r="B65" s="750"/>
      <c r="C65" s="319"/>
      <c r="D65" s="307" t="s">
        <v>84</v>
      </c>
      <c r="E65" s="487">
        <v>1</v>
      </c>
      <c r="F65" s="487">
        <v>750</v>
      </c>
      <c r="G65" s="77">
        <f t="shared" si="2"/>
        <v>750</v>
      </c>
      <c r="H65" s="6"/>
      <c r="I65" s="6"/>
    </row>
    <row r="66" spans="1:9" ht="15.75" x14ac:dyDescent="0.25">
      <c r="A66" s="749" t="s">
        <v>433</v>
      </c>
      <c r="B66" s="750"/>
      <c r="C66" s="319"/>
      <c r="D66" s="307" t="s">
        <v>84</v>
      </c>
      <c r="E66" s="487">
        <v>1</v>
      </c>
      <c r="F66" s="487">
        <v>790</v>
      </c>
      <c r="G66" s="77">
        <f t="shared" si="2"/>
        <v>790</v>
      </c>
      <c r="H66" s="6"/>
      <c r="I66" s="6"/>
    </row>
    <row r="67" spans="1:9" ht="15.75" x14ac:dyDescent="0.25">
      <c r="A67" s="749" t="s">
        <v>434</v>
      </c>
      <c r="B67" s="750"/>
      <c r="C67" s="319"/>
      <c r="D67" s="307" t="s">
        <v>84</v>
      </c>
      <c r="E67" s="487">
        <v>1</v>
      </c>
      <c r="F67" s="487">
        <v>790</v>
      </c>
      <c r="G67" s="77">
        <f t="shared" si="2"/>
        <v>790</v>
      </c>
      <c r="H67" s="6"/>
      <c r="I67" s="6"/>
    </row>
    <row r="68" spans="1:9" ht="15.75" x14ac:dyDescent="0.25">
      <c r="A68" s="749" t="s">
        <v>435</v>
      </c>
      <c r="B68" s="750"/>
      <c r="C68" s="319"/>
      <c r="D68" s="307" t="s">
        <v>84</v>
      </c>
      <c r="E68" s="487">
        <v>20</v>
      </c>
      <c r="F68" s="487">
        <v>290</v>
      </c>
      <c r="G68" s="77">
        <f t="shared" si="2"/>
        <v>5800</v>
      </c>
      <c r="H68" s="6"/>
      <c r="I68" s="6"/>
    </row>
    <row r="69" spans="1:9" ht="15.75" x14ac:dyDescent="0.25">
      <c r="A69" s="749" t="s">
        <v>436</v>
      </c>
      <c r="B69" s="750"/>
      <c r="C69" s="319"/>
      <c r="D69" s="307" t="s">
        <v>84</v>
      </c>
      <c r="E69" s="487">
        <v>20</v>
      </c>
      <c r="F69" s="487">
        <v>450</v>
      </c>
      <c r="G69" s="77">
        <f t="shared" si="2"/>
        <v>9000</v>
      </c>
      <c r="H69" s="6"/>
      <c r="I69" s="6"/>
    </row>
    <row r="70" spans="1:9" ht="31.5" customHeight="1" x14ac:dyDescent="0.25">
      <c r="A70" s="749" t="s">
        <v>437</v>
      </c>
      <c r="B70" s="750"/>
      <c r="C70" s="319"/>
      <c r="D70" s="307" t="s">
        <v>84</v>
      </c>
      <c r="E70" s="487">
        <v>10</v>
      </c>
      <c r="F70" s="487">
        <v>260</v>
      </c>
      <c r="G70" s="77">
        <f t="shared" si="2"/>
        <v>2600</v>
      </c>
      <c r="H70" s="6"/>
      <c r="I70" s="6"/>
    </row>
    <row r="71" spans="1:9" ht="15.75" x14ac:dyDescent="0.25">
      <c r="A71" s="749" t="s">
        <v>438</v>
      </c>
      <c r="B71" s="750"/>
      <c r="C71" s="319"/>
      <c r="D71" s="307" t="s">
        <v>84</v>
      </c>
      <c r="E71" s="487">
        <v>2</v>
      </c>
      <c r="F71" s="487">
        <v>250</v>
      </c>
      <c r="G71" s="77">
        <f t="shared" si="2"/>
        <v>500</v>
      </c>
      <c r="H71" s="6"/>
      <c r="I71" s="6"/>
    </row>
    <row r="72" spans="1:9" ht="15.75" x14ac:dyDescent="0.25">
      <c r="A72" s="490" t="s">
        <v>439</v>
      </c>
      <c r="B72" s="488"/>
      <c r="C72" s="319"/>
      <c r="D72" s="307" t="s">
        <v>84</v>
      </c>
      <c r="E72" s="326">
        <v>200</v>
      </c>
      <c r="F72" s="327">
        <v>50</v>
      </c>
      <c r="G72" s="77">
        <f t="shared" si="2"/>
        <v>10000</v>
      </c>
      <c r="H72" s="6"/>
      <c r="I72" s="6"/>
    </row>
    <row r="73" spans="1:9" ht="15.75" x14ac:dyDescent="0.25">
      <c r="A73" s="490" t="s">
        <v>440</v>
      </c>
      <c r="B73" s="488"/>
      <c r="C73" s="319"/>
      <c r="D73" s="307" t="s">
        <v>84</v>
      </c>
      <c r="E73" s="326">
        <v>1</v>
      </c>
      <c r="F73" s="327">
        <v>1200</v>
      </c>
      <c r="G73" s="77">
        <f t="shared" si="2"/>
        <v>1200</v>
      </c>
      <c r="H73" s="6"/>
      <c r="I73" s="6"/>
    </row>
    <row r="74" spans="1:9" ht="15.75" x14ac:dyDescent="0.25">
      <c r="A74" s="490" t="s">
        <v>441</v>
      </c>
      <c r="B74" s="488"/>
      <c r="C74" s="319"/>
      <c r="D74" s="307" t="s">
        <v>84</v>
      </c>
      <c r="E74" s="326">
        <v>1</v>
      </c>
      <c r="F74" s="327">
        <v>1200</v>
      </c>
      <c r="G74" s="77">
        <f t="shared" si="2"/>
        <v>1200</v>
      </c>
      <c r="H74" s="6"/>
      <c r="I74" s="6"/>
    </row>
    <row r="75" spans="1:9" ht="15.75" x14ac:dyDescent="0.25">
      <c r="A75" s="490" t="s">
        <v>442</v>
      </c>
      <c r="B75" s="488"/>
      <c r="C75" s="319"/>
      <c r="D75" s="307" t="s">
        <v>84</v>
      </c>
      <c r="E75" s="326">
        <v>1</v>
      </c>
      <c r="F75" s="327">
        <v>1200</v>
      </c>
      <c r="G75" s="77">
        <f t="shared" si="2"/>
        <v>1200</v>
      </c>
      <c r="H75" s="6"/>
      <c r="I75" s="6"/>
    </row>
    <row r="76" spans="1:9" ht="15.75" x14ac:dyDescent="0.25">
      <c r="A76" s="491" t="s">
        <v>443</v>
      </c>
      <c r="B76" s="319"/>
      <c r="C76" s="319"/>
      <c r="D76" s="307" t="s">
        <v>84</v>
      </c>
      <c r="E76" s="326">
        <v>1</v>
      </c>
      <c r="F76" s="327">
        <v>7200</v>
      </c>
      <c r="G76" s="77">
        <f t="shared" si="2"/>
        <v>7200</v>
      </c>
      <c r="H76" s="6"/>
      <c r="I76" s="6"/>
    </row>
    <row r="77" spans="1:9" ht="15.75" x14ac:dyDescent="0.25">
      <c r="A77" s="491" t="s">
        <v>444</v>
      </c>
      <c r="B77" s="319"/>
      <c r="C77" s="319"/>
      <c r="D77" s="307" t="s">
        <v>84</v>
      </c>
      <c r="E77" s="326">
        <v>2</v>
      </c>
      <c r="F77" s="327">
        <v>5350</v>
      </c>
      <c r="G77" s="77">
        <f t="shared" si="2"/>
        <v>10700</v>
      </c>
      <c r="H77" s="6"/>
      <c r="I77" s="6"/>
    </row>
    <row r="78" spans="1:9" ht="15.75" x14ac:dyDescent="0.25">
      <c r="A78" s="491" t="s">
        <v>445</v>
      </c>
      <c r="B78" s="319"/>
      <c r="C78" s="319"/>
      <c r="D78" s="307" t="s">
        <v>84</v>
      </c>
      <c r="E78" s="326">
        <v>1</v>
      </c>
      <c r="F78" s="327">
        <v>2800</v>
      </c>
      <c r="G78" s="77">
        <f t="shared" si="2"/>
        <v>2800</v>
      </c>
      <c r="H78" s="6"/>
      <c r="I78" s="6"/>
    </row>
    <row r="79" spans="1:9" ht="15.75" x14ac:dyDescent="0.25">
      <c r="A79" s="491" t="s">
        <v>446</v>
      </c>
      <c r="B79" s="319"/>
      <c r="C79" s="319"/>
      <c r="D79" s="307" t="s">
        <v>84</v>
      </c>
      <c r="E79" s="326">
        <v>1</v>
      </c>
      <c r="F79" s="327">
        <v>19500</v>
      </c>
      <c r="G79" s="77">
        <f t="shared" si="2"/>
        <v>19500</v>
      </c>
      <c r="H79" s="6"/>
      <c r="I79" s="6"/>
    </row>
    <row r="80" spans="1:9" ht="15.75" x14ac:dyDescent="0.25">
      <c r="A80" s="491" t="s">
        <v>447</v>
      </c>
      <c r="B80" s="319"/>
      <c r="C80" s="319"/>
      <c r="D80" s="307" t="s">
        <v>84</v>
      </c>
      <c r="E80" s="326">
        <v>12</v>
      </c>
      <c r="F80" s="327">
        <v>1400</v>
      </c>
      <c r="G80" s="77">
        <f t="shared" si="2"/>
        <v>16800</v>
      </c>
      <c r="H80" s="6"/>
      <c r="I80" s="6"/>
    </row>
    <row r="81" spans="1:11" ht="14.45" customHeight="1" x14ac:dyDescent="0.25">
      <c r="A81" s="757" t="s">
        <v>80</v>
      </c>
      <c r="B81" s="758"/>
      <c r="C81" s="321"/>
      <c r="D81" s="75"/>
      <c r="E81" s="326"/>
      <c r="F81" s="327"/>
      <c r="G81" s="433">
        <f>SUM(G59:G80)</f>
        <v>105010</v>
      </c>
      <c r="H81" s="6"/>
      <c r="I81" s="6"/>
    </row>
    <row r="82" spans="1:11" ht="36.75" hidden="1" customHeight="1" x14ac:dyDescent="0.25">
      <c r="A82" s="764" t="s">
        <v>233</v>
      </c>
      <c r="B82" s="764"/>
      <c r="C82" s="764"/>
      <c r="D82" s="764"/>
      <c r="E82" s="764"/>
      <c r="F82" s="764"/>
      <c r="G82" s="159"/>
      <c r="H82" s="6"/>
      <c r="I82" s="6"/>
    </row>
    <row r="83" spans="1:11" ht="15.75" hidden="1" x14ac:dyDescent="0.25">
      <c r="A83" s="10"/>
      <c r="B83" s="10"/>
      <c r="C83" s="10"/>
      <c r="D83" s="10"/>
      <c r="E83" s="10"/>
      <c r="F83" s="89">
        <f>D44</f>
        <v>0.27139999999999997</v>
      </c>
      <c r="G83" s="159"/>
      <c r="H83" s="6"/>
      <c r="I83" s="6"/>
    </row>
    <row r="84" spans="1:11" ht="15.75" hidden="1" customHeight="1" x14ac:dyDescent="0.25">
      <c r="A84" s="688" t="s">
        <v>0</v>
      </c>
      <c r="B84" s="688"/>
      <c r="C84" s="317"/>
      <c r="D84" s="688" t="s">
        <v>1</v>
      </c>
      <c r="E84" s="721" t="s">
        <v>2</v>
      </c>
      <c r="F84" s="721" t="s">
        <v>41</v>
      </c>
      <c r="G84" s="721" t="s">
        <v>215</v>
      </c>
      <c r="H84" s="721" t="s">
        <v>216</v>
      </c>
      <c r="I84" s="6"/>
      <c r="J84" s="6"/>
      <c r="K84" s="6"/>
    </row>
    <row r="85" spans="1:11" ht="53.25" hidden="1" customHeight="1" x14ac:dyDescent="0.25">
      <c r="A85" s="688"/>
      <c r="B85" s="688"/>
      <c r="C85" s="317"/>
      <c r="D85" s="688"/>
      <c r="E85" s="722"/>
      <c r="F85" s="722"/>
      <c r="G85" s="722"/>
      <c r="H85" s="759"/>
      <c r="I85" s="6"/>
      <c r="J85" s="6"/>
      <c r="K85" s="6"/>
    </row>
    <row r="86" spans="1:11" ht="15.75" hidden="1" x14ac:dyDescent="0.25">
      <c r="A86" s="688">
        <v>1</v>
      </c>
      <c r="B86" s="688"/>
      <c r="C86" s="317"/>
      <c r="D86" s="317">
        <v>2</v>
      </c>
      <c r="E86" s="317">
        <v>3</v>
      </c>
      <c r="F86" s="317" t="s">
        <v>40</v>
      </c>
      <c r="G86" s="317">
        <v>5</v>
      </c>
      <c r="H86" s="276"/>
      <c r="I86" s="6"/>
      <c r="J86" s="6"/>
      <c r="K86" s="6"/>
    </row>
    <row r="87" spans="1:11" ht="15.75" hidden="1" x14ac:dyDescent="0.25">
      <c r="A87" s="763">
        <f>'инновации+добровольчество0,3643'!A79:B79</f>
        <v>0</v>
      </c>
      <c r="B87" s="763"/>
      <c r="C87" s="96"/>
      <c r="D87" s="76">
        <v>37357</v>
      </c>
      <c r="E87" s="66">
        <f>1*F83</f>
        <v>0.27139999999999997</v>
      </c>
      <c r="F87" s="73"/>
      <c r="G87" s="73"/>
      <c r="H87" s="73"/>
      <c r="I87" s="6"/>
      <c r="J87" s="6"/>
      <c r="K87" s="6"/>
    </row>
    <row r="88" spans="1:11" ht="15.75" hidden="1" x14ac:dyDescent="0.25">
      <c r="A88" s="760" t="s">
        <v>141</v>
      </c>
      <c r="B88" s="760"/>
      <c r="C88" s="95"/>
      <c r="D88" s="76">
        <v>18678.5</v>
      </c>
      <c r="E88" s="317">
        <f>1*F83</f>
        <v>0.27139999999999997</v>
      </c>
      <c r="F88" s="73"/>
      <c r="G88" s="73"/>
      <c r="H88" s="73"/>
      <c r="I88" s="6"/>
      <c r="J88" s="6"/>
      <c r="K88" s="6"/>
    </row>
    <row r="89" spans="1:11" ht="15.75" hidden="1" x14ac:dyDescent="0.25">
      <c r="A89" s="761" t="s">
        <v>87</v>
      </c>
      <c r="B89" s="762"/>
      <c r="C89" s="95"/>
      <c r="D89" s="76">
        <v>37357</v>
      </c>
      <c r="E89" s="317">
        <f>1*F83/2</f>
        <v>0.13569999999999999</v>
      </c>
      <c r="F89" s="73"/>
      <c r="G89" s="73"/>
      <c r="H89" s="73"/>
      <c r="I89" s="6"/>
      <c r="J89" s="6"/>
      <c r="K89" s="6"/>
    </row>
    <row r="90" spans="1:11" ht="15.75" hidden="1" x14ac:dyDescent="0.25">
      <c r="A90" s="760" t="s">
        <v>142</v>
      </c>
      <c r="B90" s="760"/>
      <c r="C90" s="95"/>
      <c r="D90" s="76">
        <f>D87+D88+D89</f>
        <v>93392.5</v>
      </c>
      <c r="E90" s="317">
        <f>1*F83</f>
        <v>0.27139999999999997</v>
      </c>
      <c r="F90" s="73"/>
      <c r="G90" s="73"/>
      <c r="H90" s="73"/>
      <c r="I90" s="6"/>
      <c r="J90" s="6"/>
      <c r="K90" s="6"/>
    </row>
    <row r="91" spans="1:11" ht="15.75" hidden="1" x14ac:dyDescent="0.25">
      <c r="A91" s="688" t="s">
        <v>28</v>
      </c>
      <c r="B91" s="688"/>
      <c r="C91" s="688"/>
      <c r="D91" s="688"/>
      <c r="E91" s="688"/>
      <c r="F91" s="688"/>
      <c r="G91" s="317"/>
      <c r="H91" s="317"/>
      <c r="I91" s="6"/>
      <c r="J91" s="6"/>
      <c r="K91" s="6"/>
    </row>
    <row r="92" spans="1:11" ht="14.45" customHeight="1" x14ac:dyDescent="0.25">
      <c r="A92" s="603" t="s">
        <v>236</v>
      </c>
      <c r="B92" s="603"/>
      <c r="C92" s="603"/>
      <c r="D92" s="603"/>
      <c r="E92" s="603"/>
      <c r="F92" s="603"/>
      <c r="G92" s="603"/>
      <c r="H92" s="603"/>
    </row>
    <row r="93" spans="1:11" ht="14.45" customHeight="1" x14ac:dyDescent="0.25">
      <c r="A93" s="300"/>
      <c r="B93" s="300"/>
      <c r="C93" s="296"/>
      <c r="D93" s="300"/>
      <c r="E93" s="296"/>
      <c r="F93" s="296">
        <v>0.27139999999999997</v>
      </c>
      <c r="G93" s="300"/>
      <c r="H93" s="296"/>
    </row>
    <row r="94" spans="1:11" s="6" customFormat="1" ht="31.5" customHeight="1" x14ac:dyDescent="0.25">
      <c r="A94" s="279" t="s">
        <v>0</v>
      </c>
      <c r="B94" s="600" t="s">
        <v>1</v>
      </c>
      <c r="C94" s="94"/>
      <c r="D94" s="600" t="s">
        <v>2</v>
      </c>
      <c r="E94" s="538" t="s">
        <v>3</v>
      </c>
      <c r="F94" s="539"/>
      <c r="G94" s="754" t="s">
        <v>35</v>
      </c>
      <c r="H94" s="94" t="s">
        <v>5</v>
      </c>
      <c r="I94" s="600" t="s">
        <v>6</v>
      </c>
    </row>
    <row r="95" spans="1:11" s="6" customFormat="1" ht="30" x14ac:dyDescent="0.25">
      <c r="A95" s="338"/>
      <c r="B95" s="753"/>
      <c r="C95" s="94"/>
      <c r="D95" s="753"/>
      <c r="E95" s="94" t="s">
        <v>301</v>
      </c>
      <c r="F95" s="94" t="s">
        <v>313</v>
      </c>
      <c r="G95" s="756"/>
      <c r="H95" s="94" t="s">
        <v>51</v>
      </c>
      <c r="I95" s="753"/>
    </row>
    <row r="96" spans="1:11" s="6" customFormat="1" ht="15.75" x14ac:dyDescent="0.25">
      <c r="A96" s="339"/>
      <c r="B96" s="601"/>
      <c r="C96" s="94"/>
      <c r="D96" s="601"/>
      <c r="E96" s="94" t="s">
        <v>4</v>
      </c>
      <c r="F96" s="49"/>
      <c r="G96" s="755"/>
      <c r="H96" s="94" t="s">
        <v>303</v>
      </c>
      <c r="I96" s="601"/>
    </row>
    <row r="97" spans="1:10" s="6" customFormat="1" ht="15.75" x14ac:dyDescent="0.25">
      <c r="A97" s="721">
        <v>1</v>
      </c>
      <c r="B97" s="600">
        <v>2</v>
      </c>
      <c r="C97" s="94"/>
      <c r="D97" s="600">
        <v>3</v>
      </c>
      <c r="E97" s="600" t="s">
        <v>302</v>
      </c>
      <c r="F97" s="600">
        <v>5</v>
      </c>
      <c r="G97" s="754" t="s">
        <v>7</v>
      </c>
      <c r="H97" s="94" t="s">
        <v>52</v>
      </c>
      <c r="I97" s="600" t="s">
        <v>53</v>
      </c>
    </row>
    <row r="98" spans="1:10" s="6" customFormat="1" ht="15.75" x14ac:dyDescent="0.25">
      <c r="A98" s="722"/>
      <c r="B98" s="601"/>
      <c r="C98" s="94"/>
      <c r="D98" s="601"/>
      <c r="E98" s="601"/>
      <c r="F98" s="601"/>
      <c r="G98" s="755"/>
      <c r="H98" s="50">
        <v>1775.4</v>
      </c>
      <c r="I98" s="601"/>
    </row>
    <row r="99" spans="1:10" s="6" customFormat="1" ht="15.75" x14ac:dyDescent="0.25">
      <c r="A99" s="340" t="str">
        <f>'инновации+добровольчество0,3643'!A82</f>
        <v>Заведующий МЦ</v>
      </c>
      <c r="B99" s="83">
        <v>124826.37</v>
      </c>
      <c r="C99" s="83"/>
      <c r="D99" s="94">
        <f>1*F93</f>
        <v>0.27139999999999997</v>
      </c>
      <c r="E99" s="54">
        <f>D99*1775.4</f>
        <v>481.84355999999997</v>
      </c>
      <c r="F99" s="53">
        <v>1</v>
      </c>
      <c r="G99" s="54">
        <f>E99/F99</f>
        <v>481.84355999999997</v>
      </c>
      <c r="H99" s="52">
        <f>(B99*1.302)*12/1775.4</f>
        <v>1098.5058042581954</v>
      </c>
      <c r="I99" s="54">
        <f>G99*H99+13000</f>
        <v>542307.94740443199</v>
      </c>
    </row>
    <row r="100" spans="1:10" s="6" customFormat="1" ht="15.75" x14ac:dyDescent="0.25">
      <c r="A100" s="340" t="str">
        <f>'инновации+добровольчество0,3643'!A83</f>
        <v>Водитель</v>
      </c>
      <c r="B100" s="34">
        <v>37357</v>
      </c>
      <c r="C100" s="163"/>
      <c r="D100" s="94">
        <f>1*F93</f>
        <v>0.27139999999999997</v>
      </c>
      <c r="E100" s="54">
        <f>D100*1775.4</f>
        <v>481.84355999999997</v>
      </c>
      <c r="F100" s="53">
        <v>1</v>
      </c>
      <c r="G100" s="54">
        <f t="shared" ref="G100:G102" si="3">E100/F100</f>
        <v>481.84355999999997</v>
      </c>
      <c r="H100" s="52">
        <f t="shared" ref="H100:H102" si="4">(B100*1.302)*12/1775.4</f>
        <v>328.75169989861433</v>
      </c>
      <c r="I100" s="54">
        <f>G100*H100+1000</f>
        <v>159406.88943519996</v>
      </c>
    </row>
    <row r="101" spans="1:10" s="6" customFormat="1" ht="15.75" x14ac:dyDescent="0.25">
      <c r="A101" s="340" t="str">
        <f>'инновации+добровольчество0,3643'!A84</f>
        <v>Рабочий по обслуживанию здания</v>
      </c>
      <c r="B101" s="54">
        <v>37357</v>
      </c>
      <c r="C101" s="54"/>
      <c r="D101" s="94">
        <f>0.5*F93</f>
        <v>0.13569999999999999</v>
      </c>
      <c r="E101" s="54">
        <f>D101*1775.4</f>
        <v>240.92177999999998</v>
      </c>
      <c r="F101" s="53">
        <v>1</v>
      </c>
      <c r="G101" s="54">
        <f t="shared" si="3"/>
        <v>240.92177999999998</v>
      </c>
      <c r="H101" s="52">
        <f t="shared" si="4"/>
        <v>328.75169989861433</v>
      </c>
      <c r="I101" s="54">
        <f>G101*H101+500</f>
        <v>79703.444717599981</v>
      </c>
    </row>
    <row r="102" spans="1:10" s="6" customFormat="1" ht="15.75" x14ac:dyDescent="0.25">
      <c r="A102" s="340" t="str">
        <f>'инновации+добровольчество0,3643'!A85</f>
        <v>Уборщик служебных помещений</v>
      </c>
      <c r="B102" s="34">
        <v>37357</v>
      </c>
      <c r="C102" s="294"/>
      <c r="D102" s="94">
        <f>1*F93</f>
        <v>0.27139999999999997</v>
      </c>
      <c r="E102" s="54">
        <f>D102*1775.4</f>
        <v>481.84355999999997</v>
      </c>
      <c r="F102" s="53">
        <v>1</v>
      </c>
      <c r="G102" s="54">
        <f t="shared" si="3"/>
        <v>481.84355999999997</v>
      </c>
      <c r="H102" s="52">
        <f t="shared" si="4"/>
        <v>328.75169989861433</v>
      </c>
      <c r="I102" s="54">
        <f>G102*H102+1031.38</f>
        <v>159438.26943519997</v>
      </c>
      <c r="J102" s="159"/>
    </row>
    <row r="103" spans="1:10" s="6" customFormat="1" ht="15.75" x14ac:dyDescent="0.25">
      <c r="A103" s="712" t="s">
        <v>28</v>
      </c>
      <c r="B103" s="713"/>
      <c r="C103" s="713"/>
      <c r="D103" s="713"/>
      <c r="E103" s="713"/>
      <c r="F103" s="714"/>
      <c r="G103" s="313"/>
      <c r="H103" s="313"/>
      <c r="I103" s="434">
        <f>SUM(I99:I102)-0.01</f>
        <v>940856.54099243181</v>
      </c>
    </row>
    <row r="104" spans="1:10" ht="18.75" x14ac:dyDescent="0.25">
      <c r="A104" s="300"/>
      <c r="B104" s="143"/>
      <c r="C104" s="143"/>
      <c r="D104" s="198"/>
      <c r="E104" s="198"/>
      <c r="F104" s="198"/>
      <c r="G104" s="198"/>
      <c r="H104" s="199"/>
    </row>
    <row r="105" spans="1:10" ht="18.75" x14ac:dyDescent="0.25">
      <c r="A105" s="300"/>
      <c r="B105" s="143"/>
      <c r="C105" s="143"/>
      <c r="D105" s="198"/>
      <c r="E105" s="198"/>
      <c r="F105" s="198"/>
      <c r="G105" s="198"/>
      <c r="H105" s="199"/>
    </row>
    <row r="106" spans="1:10" ht="14.45" customHeight="1" x14ac:dyDescent="0.25">
      <c r="A106" s="603" t="s">
        <v>308</v>
      </c>
      <c r="B106" s="603"/>
      <c r="C106" s="603"/>
      <c r="D106" s="540"/>
      <c r="E106" s="540"/>
      <c r="F106" s="540"/>
      <c r="G106" s="540"/>
      <c r="H106" s="540"/>
    </row>
    <row r="107" spans="1:10" ht="14.45" customHeight="1" x14ac:dyDescent="0.25">
      <c r="A107" s="549" t="s">
        <v>60</v>
      </c>
      <c r="B107" s="552" t="s">
        <v>155</v>
      </c>
      <c r="C107" s="553"/>
      <c r="D107" s="558"/>
      <c r="E107" s="559"/>
      <c r="F107" s="560"/>
      <c r="G107" s="118"/>
      <c r="H107" s="118"/>
    </row>
    <row r="108" spans="1:10" ht="14.45" customHeight="1" x14ac:dyDescent="0.25">
      <c r="A108" s="550"/>
      <c r="B108" s="554"/>
      <c r="C108" s="555"/>
      <c r="D108" s="561" t="s">
        <v>159</v>
      </c>
      <c r="E108" s="550" t="s">
        <v>165</v>
      </c>
      <c r="F108" s="550" t="s">
        <v>6</v>
      </c>
      <c r="G108" s="41"/>
    </row>
    <row r="109" spans="1:10" x14ac:dyDescent="0.25">
      <c r="A109" s="551"/>
      <c r="B109" s="556"/>
      <c r="C109" s="557"/>
      <c r="D109" s="562"/>
      <c r="E109" s="551"/>
      <c r="F109" s="551"/>
      <c r="G109" s="41"/>
    </row>
    <row r="110" spans="1:10" x14ac:dyDescent="0.25">
      <c r="A110" s="160">
        <v>1</v>
      </c>
      <c r="B110" s="558">
        <v>2</v>
      </c>
      <c r="C110" s="560"/>
      <c r="D110" s="160">
        <v>5</v>
      </c>
      <c r="E110" s="160">
        <v>6</v>
      </c>
      <c r="F110" s="160">
        <v>7</v>
      </c>
      <c r="G110" s="41"/>
    </row>
    <row r="111" spans="1:10" x14ac:dyDescent="0.25">
      <c r="A111" s="207" t="s">
        <v>162</v>
      </c>
      <c r="B111" s="436">
        <v>0.27139999999999997</v>
      </c>
      <c r="C111" s="283"/>
      <c r="D111" s="142">
        <v>26583.599999999999</v>
      </c>
      <c r="E111" s="173">
        <f t="shared" ref="E111:E113" si="5">D111*30.2%</f>
        <v>8028.2471999999989</v>
      </c>
      <c r="F111" s="173">
        <f>B111*(D111+E111)</f>
        <v>9393.6553300799987</v>
      </c>
      <c r="G111" s="41"/>
    </row>
    <row r="112" spans="1:10" x14ac:dyDescent="0.25">
      <c r="A112" s="207" t="s">
        <v>163</v>
      </c>
      <c r="B112" s="436">
        <v>0.27139999999999997</v>
      </c>
      <c r="C112" s="283"/>
      <c r="D112" s="142">
        <v>13297.32</v>
      </c>
      <c r="E112" s="173">
        <f t="shared" si="5"/>
        <v>4015.7906399999997</v>
      </c>
      <c r="F112" s="173">
        <f t="shared" ref="F112:F113" si="6">B112*(D112+E112)</f>
        <v>4698.7782276959997</v>
      </c>
      <c r="G112" s="41"/>
    </row>
    <row r="113" spans="1:9" x14ac:dyDescent="0.25">
      <c r="A113" s="207" t="s">
        <v>142</v>
      </c>
      <c r="B113" s="436">
        <v>0.27139999999999997</v>
      </c>
      <c r="C113" s="283"/>
      <c r="D113" s="142">
        <v>26602.92</v>
      </c>
      <c r="E113" s="173">
        <f t="shared" si="5"/>
        <v>8034.0818399999989</v>
      </c>
      <c r="F113" s="173">
        <f t="shared" si="6"/>
        <v>9400.482299375999</v>
      </c>
      <c r="G113" s="41"/>
    </row>
    <row r="114" spans="1:9" x14ac:dyDescent="0.25">
      <c r="A114" s="145"/>
      <c r="B114" s="282"/>
      <c r="C114" s="146"/>
      <c r="D114" s="119">
        <v>0</v>
      </c>
      <c r="E114" s="119">
        <v>0</v>
      </c>
      <c r="F114" s="435">
        <f>SUM(F111:F113)-11.86</f>
        <v>23481.055857151998</v>
      </c>
      <c r="G114" s="41"/>
    </row>
    <row r="115" spans="1:9" ht="15.75" x14ac:dyDescent="0.25">
      <c r="A115" s="4"/>
      <c r="B115" s="153"/>
      <c r="C115" s="153"/>
      <c r="D115" s="153"/>
      <c r="E115" s="153"/>
      <c r="F115" s="153"/>
      <c r="G115" s="159"/>
      <c r="H115" s="6"/>
      <c r="I115" s="6"/>
    </row>
    <row r="116" spans="1:9" ht="15.75" x14ac:dyDescent="0.25">
      <c r="A116" s="4"/>
      <c r="B116" s="153"/>
      <c r="C116" s="153"/>
      <c r="D116" s="153"/>
      <c r="E116" s="153"/>
      <c r="F116" s="153"/>
      <c r="G116" s="159"/>
      <c r="H116" s="6"/>
      <c r="I116" s="6"/>
    </row>
    <row r="117" spans="1:9" ht="15.75" x14ac:dyDescent="0.25">
      <c r="A117" s="544" t="s">
        <v>12</v>
      </c>
      <c r="B117" s="544"/>
      <c r="C117" s="544"/>
      <c r="D117" s="544"/>
      <c r="E117" s="544"/>
      <c r="F117" s="544"/>
      <c r="G117" s="159"/>
      <c r="H117" s="6"/>
      <c r="I117" s="6"/>
    </row>
    <row r="118" spans="1:9" ht="15.75" x14ac:dyDescent="0.25">
      <c r="A118" s="153"/>
      <c r="B118" s="153"/>
      <c r="C118" s="153"/>
      <c r="D118" s="153"/>
      <c r="E118" s="153"/>
      <c r="F118" s="158">
        <f>F83</f>
        <v>0.27139999999999997</v>
      </c>
      <c r="G118" s="159"/>
      <c r="H118" s="6"/>
      <c r="I118" s="6"/>
    </row>
    <row r="119" spans="1:9" ht="15.75" x14ac:dyDescent="0.25">
      <c r="A119" s="688" t="s">
        <v>13</v>
      </c>
      <c r="B119" s="688" t="s">
        <v>11</v>
      </c>
      <c r="C119" s="317"/>
      <c r="D119" s="688" t="s">
        <v>14</v>
      </c>
      <c r="E119" s="688" t="s">
        <v>90</v>
      </c>
      <c r="F119" s="688" t="s">
        <v>6</v>
      </c>
      <c r="G119" s="159"/>
      <c r="H119" s="6"/>
      <c r="I119" s="6"/>
    </row>
    <row r="120" spans="1:9" ht="3.6" customHeight="1" x14ac:dyDescent="0.25">
      <c r="A120" s="688"/>
      <c r="B120" s="688"/>
      <c r="C120" s="317"/>
      <c r="D120" s="688"/>
      <c r="E120" s="688"/>
      <c r="F120" s="688"/>
      <c r="G120" s="159"/>
      <c r="H120" s="6"/>
      <c r="I120" s="6"/>
    </row>
    <row r="121" spans="1:9" ht="16.5" thickBot="1" x14ac:dyDescent="0.3">
      <c r="A121" s="317">
        <v>1</v>
      </c>
      <c r="B121" s="317">
        <v>2</v>
      </c>
      <c r="C121" s="317"/>
      <c r="D121" s="317">
        <v>3</v>
      </c>
      <c r="E121" s="317">
        <v>4</v>
      </c>
      <c r="F121" s="317" t="s">
        <v>174</v>
      </c>
      <c r="G121" s="159"/>
      <c r="H121" s="6"/>
      <c r="I121" s="6"/>
    </row>
    <row r="122" spans="1:9" ht="15.75" x14ac:dyDescent="0.25">
      <c r="A122" s="391" t="s">
        <v>17</v>
      </c>
      <c r="B122" s="317" t="str">
        <f>'инновации+добровольчество0,3643'!B111</f>
        <v>Гкал</v>
      </c>
      <c r="C122" s="317"/>
      <c r="D122" s="394">
        <f>55*F118</f>
        <v>14.926999999999998</v>
      </c>
      <c r="E122" s="437">
        <v>3800</v>
      </c>
      <c r="F122" s="73">
        <f>D122*E122</f>
        <v>56722.599999999991</v>
      </c>
      <c r="G122" s="159"/>
      <c r="H122" s="6"/>
      <c r="I122" s="6"/>
    </row>
    <row r="123" spans="1:9" ht="15.75" x14ac:dyDescent="0.25">
      <c r="A123" s="392" t="s">
        <v>237</v>
      </c>
      <c r="B123" s="317" t="str">
        <f>'инновации+добровольчество0,3643'!B112</f>
        <v>м2</v>
      </c>
      <c r="C123" s="317"/>
      <c r="D123" s="395">
        <f>106.3*F118</f>
        <v>28.849819999999998</v>
      </c>
      <c r="E123" s="375">
        <v>80</v>
      </c>
      <c r="F123" s="73">
        <f t="shared" ref="F123:F127" si="7">D123*E123</f>
        <v>2307.9856</v>
      </c>
      <c r="G123" s="159"/>
      <c r="H123" s="6"/>
      <c r="I123" s="6"/>
    </row>
    <row r="124" spans="1:9" ht="15.75" x14ac:dyDescent="0.25">
      <c r="A124" s="392" t="s">
        <v>238</v>
      </c>
      <c r="B124" s="317" t="str">
        <f>'инновации+добровольчество0,3643'!B113</f>
        <v>м3</v>
      </c>
      <c r="C124" s="317"/>
      <c r="D124" s="395">
        <f>3*F118</f>
        <v>0.81419999999999992</v>
      </c>
      <c r="E124" s="375">
        <v>18000</v>
      </c>
      <c r="F124" s="73">
        <f t="shared" si="7"/>
        <v>14655.599999999999</v>
      </c>
      <c r="G124" s="159"/>
      <c r="H124" s="6"/>
      <c r="I124" s="6"/>
    </row>
    <row r="125" spans="1:9" ht="15.75" x14ac:dyDescent="0.25">
      <c r="A125" s="392" t="s">
        <v>16</v>
      </c>
      <c r="B125" s="317" t="str">
        <f>'инновации+добровольчество0,3643'!B114</f>
        <v>МВт час.</v>
      </c>
      <c r="C125" s="317"/>
      <c r="D125" s="395">
        <f>6*F118</f>
        <v>1.6283999999999998</v>
      </c>
      <c r="E125" s="375">
        <v>8000</v>
      </c>
      <c r="F125" s="73">
        <f t="shared" si="7"/>
        <v>13027.199999999999</v>
      </c>
      <c r="G125" s="159"/>
      <c r="H125" s="6"/>
      <c r="I125" s="6"/>
    </row>
    <row r="126" spans="1:9" ht="15.75" x14ac:dyDescent="0.25">
      <c r="A126" s="392" t="s">
        <v>205</v>
      </c>
      <c r="B126" s="317" t="str">
        <f>'инновации+добровольчество0,3643'!B115</f>
        <v>договор</v>
      </c>
      <c r="C126" s="208"/>
      <c r="D126" s="395">
        <f>8*F118</f>
        <v>2.1711999999999998</v>
      </c>
      <c r="E126" s="375">
        <v>2350</v>
      </c>
      <c r="F126" s="73">
        <f t="shared" si="7"/>
        <v>5102.32</v>
      </c>
      <c r="G126" s="159"/>
      <c r="H126" s="6"/>
      <c r="I126" s="6"/>
    </row>
    <row r="127" spans="1:9" ht="16.5" thickBot="1" x14ac:dyDescent="0.3">
      <c r="A127" s="393" t="s">
        <v>239</v>
      </c>
      <c r="B127" s="317" t="str">
        <f>'инновации+добровольчество0,3643'!B116</f>
        <v>МВт час.</v>
      </c>
      <c r="C127" s="208"/>
      <c r="D127" s="396">
        <f>5*F118</f>
        <v>1.3569999999999998</v>
      </c>
      <c r="E127" s="376">
        <v>8339.2000000000007</v>
      </c>
      <c r="F127" s="73">
        <f t="shared" si="7"/>
        <v>11316.294399999999</v>
      </c>
      <c r="G127" s="159"/>
      <c r="H127" s="6"/>
      <c r="I127" s="6"/>
    </row>
    <row r="128" spans="1:9" ht="18.75" x14ac:dyDescent="0.25">
      <c r="A128" s="773"/>
      <c r="B128" s="773"/>
      <c r="C128" s="773"/>
      <c r="D128" s="773"/>
      <c r="E128" s="773"/>
      <c r="F128" s="438">
        <f>SUM(F122:F127)</f>
        <v>103131.99999999999</v>
      </c>
      <c r="G128" s="159"/>
      <c r="H128" s="6"/>
      <c r="I128" s="6"/>
    </row>
    <row r="129" spans="1:9" ht="18.75" x14ac:dyDescent="0.25">
      <c r="A129" s="227"/>
      <c r="B129" s="227"/>
      <c r="C129" s="227"/>
      <c r="D129" s="227"/>
      <c r="E129" s="227"/>
      <c r="F129" s="228"/>
      <c r="G129" s="229"/>
      <c r="H129" s="6"/>
      <c r="I129" s="6"/>
    </row>
    <row r="130" spans="1:9" s="6" customFormat="1" ht="25.5" hidden="1" x14ac:dyDescent="0.25">
      <c r="A130" s="302" t="s">
        <v>111</v>
      </c>
      <c r="B130" s="311" t="s">
        <v>112</v>
      </c>
      <c r="C130" s="225"/>
      <c r="D130" s="311" t="s">
        <v>116</v>
      </c>
      <c r="E130" s="311" t="s">
        <v>113</v>
      </c>
      <c r="F130" s="311" t="s">
        <v>114</v>
      </c>
      <c r="G130" s="226" t="s">
        <v>6</v>
      </c>
    </row>
    <row r="131" spans="1:9" s="6" customFormat="1" ht="15.75" hidden="1" x14ac:dyDescent="0.25">
      <c r="A131" s="207">
        <v>1</v>
      </c>
      <c r="B131" s="208">
        <v>2</v>
      </c>
      <c r="C131" s="305"/>
      <c r="D131" s="208">
        <v>3</v>
      </c>
      <c r="E131" s="208">
        <v>4</v>
      </c>
      <c r="F131" s="208">
        <v>5</v>
      </c>
      <c r="G131" s="324" t="s">
        <v>314</v>
      </c>
    </row>
    <row r="132" spans="1:9" s="6" customFormat="1" ht="15.75" hidden="1" x14ac:dyDescent="0.25">
      <c r="A132" s="208" t="s">
        <v>115</v>
      </c>
      <c r="B132" s="208">
        <v>1</v>
      </c>
      <c r="C132" s="208">
        <f>'инновации+добровольчество0,3643'!C102</f>
        <v>0</v>
      </c>
      <c r="D132" s="208">
        <f>'инновации+добровольчество0,3643'!D102</f>
        <v>12</v>
      </c>
      <c r="E132" s="208">
        <f>'инновации+добровольчество0,3643'!E102</f>
        <v>75</v>
      </c>
      <c r="F132" s="208">
        <v>0</v>
      </c>
      <c r="G132" s="156">
        <f>F132*F118</f>
        <v>0</v>
      </c>
    </row>
    <row r="133" spans="1:9" s="6" customFormat="1" ht="18.75" hidden="1" x14ac:dyDescent="0.25">
      <c r="A133" s="118"/>
      <c r="B133" s="118"/>
      <c r="C133" s="118"/>
      <c r="D133" s="118"/>
      <c r="E133" s="282" t="s">
        <v>88</v>
      </c>
      <c r="F133" s="119">
        <f>F132</f>
        <v>0</v>
      </c>
      <c r="G133" s="258">
        <f>G132</f>
        <v>0</v>
      </c>
    </row>
    <row r="134" spans="1:9" ht="15.75" x14ac:dyDescent="0.25">
      <c r="A134" s="729" t="s">
        <v>59</v>
      </c>
      <c r="B134" s="729"/>
      <c r="C134" s="729"/>
      <c r="D134" s="729"/>
      <c r="E134" s="729"/>
      <c r="F134" s="729"/>
      <c r="G134" s="159"/>
      <c r="H134" s="6"/>
      <c r="I134" s="6"/>
    </row>
    <row r="135" spans="1:9" ht="15.75" x14ac:dyDescent="0.25">
      <c r="A135" s="316" t="s">
        <v>81</v>
      </c>
      <c r="B135" s="6" t="s">
        <v>316</v>
      </c>
      <c r="C135" s="6"/>
      <c r="D135" s="6"/>
      <c r="E135" s="6"/>
      <c r="F135" s="6"/>
      <c r="G135" s="159"/>
      <c r="H135" s="6"/>
      <c r="I135" s="6"/>
    </row>
    <row r="136" spans="1:9" ht="15.75" x14ac:dyDescent="0.25">
      <c r="A136" s="6"/>
      <c r="B136" s="6"/>
      <c r="C136" s="6"/>
      <c r="D136" s="150">
        <f>F118</f>
        <v>0.27139999999999997</v>
      </c>
      <c r="E136" s="6"/>
      <c r="F136" s="6"/>
      <c r="G136" s="159"/>
      <c r="H136" s="6"/>
      <c r="I136" s="6"/>
    </row>
    <row r="137" spans="1:9" ht="15" customHeight="1" x14ac:dyDescent="0.25">
      <c r="A137" s="703" t="s">
        <v>121</v>
      </c>
      <c r="B137" s="703"/>
      <c r="C137" s="307"/>
      <c r="D137" s="703" t="s">
        <v>11</v>
      </c>
      <c r="E137" s="726" t="s">
        <v>48</v>
      </c>
      <c r="F137" s="726" t="s">
        <v>15</v>
      </c>
      <c r="G137" s="751" t="s">
        <v>6</v>
      </c>
      <c r="H137" s="6"/>
      <c r="I137" s="6"/>
    </row>
    <row r="138" spans="1:9" ht="15.75" x14ac:dyDescent="0.25">
      <c r="A138" s="703"/>
      <c r="B138" s="703"/>
      <c r="C138" s="307"/>
      <c r="D138" s="703"/>
      <c r="E138" s="727"/>
      <c r="F138" s="727"/>
      <c r="G138" s="752"/>
      <c r="H138" s="6"/>
      <c r="I138" s="6"/>
    </row>
    <row r="139" spans="1:9" ht="15.75" x14ac:dyDescent="0.25">
      <c r="A139" s="704">
        <v>1</v>
      </c>
      <c r="B139" s="705"/>
      <c r="C139" s="308"/>
      <c r="D139" s="307">
        <v>2</v>
      </c>
      <c r="E139" s="307">
        <v>3</v>
      </c>
      <c r="F139" s="307">
        <v>4</v>
      </c>
      <c r="G139" s="82" t="s">
        <v>68</v>
      </c>
      <c r="H139" s="6"/>
      <c r="I139" s="6"/>
    </row>
    <row r="140" spans="1:9" ht="16.5" thickBot="1" x14ac:dyDescent="0.3">
      <c r="A140" s="706" t="str">
        <f>A48</f>
        <v>Суточные</v>
      </c>
      <c r="B140" s="707"/>
      <c r="C140" s="310"/>
      <c r="D140" s="307" t="str">
        <f>D48</f>
        <v>сутки</v>
      </c>
      <c r="E140" s="320">
        <f>23*4*D136</f>
        <v>24.968799999999998</v>
      </c>
      <c r="F140" s="439">
        <v>450</v>
      </c>
      <c r="G140" s="82">
        <f>E140*F140+0.15</f>
        <v>11236.109999999999</v>
      </c>
      <c r="H140" s="6"/>
      <c r="I140" s="6"/>
    </row>
    <row r="141" spans="1:9" ht="16.5" thickBot="1" x14ac:dyDescent="0.3">
      <c r="A141" s="706" t="str">
        <f>A49</f>
        <v>Проезд</v>
      </c>
      <c r="B141" s="707"/>
      <c r="C141" s="310"/>
      <c r="D141" s="307" t="str">
        <f>D49</f>
        <v xml:space="preserve">Ед. </v>
      </c>
      <c r="E141" s="320">
        <f>23*D136</f>
        <v>6.2421999999999995</v>
      </c>
      <c r="F141" s="439">
        <v>8200</v>
      </c>
      <c r="G141" s="82">
        <f t="shared" ref="G141" si="8">E141*F141</f>
        <v>51186.039999999994</v>
      </c>
      <c r="H141" s="6"/>
      <c r="I141" s="6"/>
    </row>
    <row r="142" spans="1:9" ht="16.5" thickBot="1" x14ac:dyDescent="0.3">
      <c r="A142" s="706" t="str">
        <f>A50</f>
        <v xml:space="preserve">Проживание </v>
      </c>
      <c r="B142" s="707"/>
      <c r="C142" s="310"/>
      <c r="D142" s="307" t="str">
        <f>D50</f>
        <v>сутки</v>
      </c>
      <c r="E142" s="320">
        <f>23*3*D136</f>
        <v>18.726599999999998</v>
      </c>
      <c r="F142" s="439">
        <v>2463.7600000000002</v>
      </c>
      <c r="G142" s="82">
        <f>E142*F142</f>
        <v>46137.848015999996</v>
      </c>
      <c r="H142" s="6"/>
      <c r="I142" s="6"/>
    </row>
    <row r="143" spans="1:9" ht="18.75" x14ac:dyDescent="0.25">
      <c r="A143" s="737" t="s">
        <v>58</v>
      </c>
      <c r="B143" s="738"/>
      <c r="C143" s="318"/>
      <c r="D143" s="307"/>
      <c r="E143" s="78"/>
      <c r="F143" s="78"/>
      <c r="G143" s="440">
        <f>SUM(G140:G142)</f>
        <v>108559.998016</v>
      </c>
      <c r="H143" s="6"/>
      <c r="I143" s="6"/>
    </row>
    <row r="144" spans="1:9" ht="15.75" x14ac:dyDescent="0.25">
      <c r="A144" s="725" t="s">
        <v>36</v>
      </c>
      <c r="B144" s="725"/>
      <c r="C144" s="725"/>
      <c r="D144" s="725"/>
      <c r="E144" s="725"/>
      <c r="F144" s="725"/>
      <c r="G144" s="159"/>
      <c r="H144" s="6"/>
      <c r="I144" s="6"/>
    </row>
    <row r="145" spans="1:9" ht="16.5" thickBot="1" x14ac:dyDescent="0.3">
      <c r="A145" s="6"/>
      <c r="B145" s="6"/>
      <c r="C145" s="6"/>
      <c r="D145" s="157">
        <f>D136</f>
        <v>0.27139999999999997</v>
      </c>
      <c r="E145" s="6"/>
      <c r="F145" s="6"/>
      <c r="G145" s="159"/>
      <c r="H145" s="6"/>
      <c r="I145" s="6"/>
    </row>
    <row r="146" spans="1:9" ht="30" customHeight="1" x14ac:dyDescent="0.25">
      <c r="A146" s="765" t="s">
        <v>24</v>
      </c>
      <c r="B146" s="767" t="s">
        <v>11</v>
      </c>
      <c r="C146" s="401"/>
      <c r="D146" s="767" t="s">
        <v>48</v>
      </c>
      <c r="E146" s="767" t="s">
        <v>90</v>
      </c>
      <c r="F146" s="771" t="s">
        <v>177</v>
      </c>
      <c r="G146" s="774" t="s">
        <v>6</v>
      </c>
      <c r="H146" s="6"/>
      <c r="I146" s="6"/>
    </row>
    <row r="147" spans="1:9" ht="15.75" customHeight="1" thickBot="1" x14ac:dyDescent="0.3">
      <c r="A147" s="766"/>
      <c r="B147" s="768"/>
      <c r="C147" s="402"/>
      <c r="D147" s="768"/>
      <c r="E147" s="768"/>
      <c r="F147" s="772"/>
      <c r="G147" s="775"/>
      <c r="H147" s="6"/>
      <c r="I147" s="6"/>
    </row>
    <row r="148" spans="1:9" ht="16.5" thickBot="1" x14ac:dyDescent="0.3">
      <c r="A148" s="398">
        <v>1</v>
      </c>
      <c r="B148" s="399">
        <v>2</v>
      </c>
      <c r="C148" s="399"/>
      <c r="D148" s="399">
        <v>3</v>
      </c>
      <c r="E148" s="399">
        <v>4</v>
      </c>
      <c r="F148" s="399">
        <v>5</v>
      </c>
      <c r="G148" s="400" t="s">
        <v>69</v>
      </c>
      <c r="H148" s="6"/>
      <c r="I148" s="6"/>
    </row>
    <row r="149" spans="1:9" ht="21.75" customHeight="1" x14ac:dyDescent="0.25">
      <c r="A149" s="403" t="s">
        <v>240</v>
      </c>
      <c r="B149" s="387" t="s">
        <v>22</v>
      </c>
      <c r="C149" s="388"/>
      <c r="D149" s="397">
        <f>259.23*D145</f>
        <v>70.355022000000005</v>
      </c>
      <c r="E149" s="441">
        <v>6.5</v>
      </c>
      <c r="F149" s="387">
        <v>12</v>
      </c>
      <c r="G149" s="390">
        <f>D149*E149*F149</f>
        <v>5487.6917160000003</v>
      </c>
      <c r="H149" s="6"/>
      <c r="I149" s="6"/>
    </row>
    <row r="150" spans="1:9" ht="15.75" x14ac:dyDescent="0.25">
      <c r="A150" s="372" t="s">
        <v>241</v>
      </c>
      <c r="B150" s="94" t="s">
        <v>22</v>
      </c>
      <c r="C150" s="307"/>
      <c r="D150" s="349">
        <f>15*D145</f>
        <v>4.0709999999999997</v>
      </c>
      <c r="E150" s="345">
        <v>15</v>
      </c>
      <c r="F150" s="94">
        <v>12</v>
      </c>
      <c r="G150" s="82">
        <f t="shared" ref="G150:G153" si="9">D150*E150*F150</f>
        <v>732.78</v>
      </c>
      <c r="H150" s="6"/>
      <c r="I150" s="6"/>
    </row>
    <row r="151" spans="1:9" ht="15.75" x14ac:dyDescent="0.25">
      <c r="A151" s="372" t="s">
        <v>176</v>
      </c>
      <c r="B151" s="94" t="s">
        <v>22</v>
      </c>
      <c r="C151" s="307"/>
      <c r="D151" s="350">
        <f>1*D145</f>
        <v>0.27139999999999997</v>
      </c>
      <c r="E151" s="351">
        <v>2240</v>
      </c>
      <c r="F151" s="94">
        <v>12</v>
      </c>
      <c r="G151" s="82">
        <f>D151*E151*F151+0.02</f>
        <v>7295.2519999999995</v>
      </c>
      <c r="H151" s="6"/>
      <c r="I151" s="6"/>
    </row>
    <row r="152" spans="1:9" ht="16.5" thickBot="1" x14ac:dyDescent="0.3">
      <c r="A152" s="372" t="s">
        <v>242</v>
      </c>
      <c r="B152" s="94" t="s">
        <v>22</v>
      </c>
      <c r="C152" s="307"/>
      <c r="D152" s="350">
        <f>1*D145</f>
        <v>0.27139999999999997</v>
      </c>
      <c r="E152" s="351">
        <v>16000</v>
      </c>
      <c r="F152" s="94">
        <v>12</v>
      </c>
      <c r="G152" s="442">
        <f>D152*E152*F152</f>
        <v>52108.799999999996</v>
      </c>
      <c r="H152" s="6"/>
      <c r="I152" s="6"/>
    </row>
    <row r="153" spans="1:9" ht="16.5" hidden="1" thickBot="1" x14ac:dyDescent="0.3">
      <c r="A153" s="372" t="s">
        <v>282</v>
      </c>
      <c r="B153" s="94" t="s">
        <v>84</v>
      </c>
      <c r="C153" s="307"/>
      <c r="D153" s="350">
        <v>0</v>
      </c>
      <c r="E153" s="351">
        <v>30</v>
      </c>
      <c r="F153" s="94">
        <v>1</v>
      </c>
      <c r="G153" s="389">
        <f t="shared" si="9"/>
        <v>0</v>
      </c>
      <c r="H153" s="6"/>
      <c r="I153" s="6"/>
    </row>
    <row r="154" spans="1:9" ht="19.5" thickBot="1" x14ac:dyDescent="0.35">
      <c r="A154" s="736" t="s">
        <v>26</v>
      </c>
      <c r="B154" s="736"/>
      <c r="C154" s="736"/>
      <c r="D154" s="736"/>
      <c r="E154" s="736"/>
      <c r="F154" s="757"/>
      <c r="G154" s="444">
        <f>SUM(G149:G153)</f>
        <v>65624.523715999996</v>
      </c>
      <c r="H154" s="6"/>
      <c r="I154" s="6"/>
    </row>
    <row r="155" spans="1:9" ht="15.75" x14ac:dyDescent="0.25">
      <c r="A155" s="725" t="s">
        <v>55</v>
      </c>
      <c r="B155" s="725"/>
      <c r="C155" s="725"/>
      <c r="D155" s="725"/>
      <c r="E155" s="725"/>
      <c r="F155" s="725"/>
      <c r="G155" s="159"/>
      <c r="H155" s="6"/>
      <c r="I155" s="6"/>
    </row>
    <row r="156" spans="1:9" ht="15.75" x14ac:dyDescent="0.25">
      <c r="A156" s="6"/>
      <c r="B156" s="6"/>
      <c r="C156" s="6"/>
      <c r="D156" s="157">
        <f>D145</f>
        <v>0.27139999999999997</v>
      </c>
      <c r="E156" s="6"/>
      <c r="F156" s="6"/>
      <c r="G156" s="159"/>
      <c r="H156" s="6"/>
      <c r="I156" s="6"/>
    </row>
    <row r="157" spans="1:9" ht="10.15" customHeight="1" x14ac:dyDescent="0.25">
      <c r="A157" s="703" t="s">
        <v>194</v>
      </c>
      <c r="B157" s="703" t="s">
        <v>11</v>
      </c>
      <c r="C157" s="307"/>
      <c r="D157" s="703" t="s">
        <v>48</v>
      </c>
      <c r="E157" s="703" t="s">
        <v>91</v>
      </c>
      <c r="F157" s="703" t="s">
        <v>25</v>
      </c>
      <c r="G157" s="751" t="s">
        <v>6</v>
      </c>
      <c r="H157" s="6"/>
      <c r="I157" s="6"/>
    </row>
    <row r="158" spans="1:9" ht="4.1500000000000004" customHeight="1" x14ac:dyDescent="0.25">
      <c r="A158" s="703"/>
      <c r="B158" s="703"/>
      <c r="C158" s="307"/>
      <c r="D158" s="703"/>
      <c r="E158" s="703"/>
      <c r="F158" s="703"/>
      <c r="G158" s="752"/>
      <c r="H158" s="6"/>
      <c r="I158" s="6"/>
    </row>
    <row r="159" spans="1:9" ht="15.75" x14ac:dyDescent="0.25">
      <c r="A159" s="307">
        <v>1</v>
      </c>
      <c r="B159" s="307">
        <v>2</v>
      </c>
      <c r="C159" s="307"/>
      <c r="D159" s="307">
        <v>3</v>
      </c>
      <c r="E159" s="307">
        <v>4</v>
      </c>
      <c r="F159" s="307">
        <v>5</v>
      </c>
      <c r="G159" s="77" t="s">
        <v>70</v>
      </c>
      <c r="H159" s="6"/>
      <c r="I159" s="6"/>
    </row>
    <row r="160" spans="1:9" ht="15.75" hidden="1" x14ac:dyDescent="0.25">
      <c r="A160" s="72" t="str">
        <f>'инновации+добровольчество0,3643'!A143</f>
        <v>Проезд к месту учебы</v>
      </c>
      <c r="B160" s="307" t="s">
        <v>122</v>
      </c>
      <c r="C160" s="307"/>
      <c r="D160" s="307"/>
      <c r="E160" s="307"/>
      <c r="F160" s="307"/>
      <c r="G160" s="77"/>
      <c r="H160" s="6"/>
      <c r="I160" s="6"/>
    </row>
    <row r="161" spans="1:9" ht="15.75" x14ac:dyDescent="0.25">
      <c r="A161" s="69" t="s">
        <v>315</v>
      </c>
      <c r="B161" s="307" t="s">
        <v>22</v>
      </c>
      <c r="C161" s="307"/>
      <c r="D161" s="307">
        <f>1*D156</f>
        <v>0.27139999999999997</v>
      </c>
      <c r="E161" s="307">
        <v>58000</v>
      </c>
      <c r="F161" s="307">
        <v>1</v>
      </c>
      <c r="G161" s="77">
        <f>D161*E161*F161</f>
        <v>15741.199999999999</v>
      </c>
      <c r="H161" s="6"/>
      <c r="I161" s="6"/>
    </row>
    <row r="162" spans="1:9" ht="18.75" x14ac:dyDescent="0.25">
      <c r="A162" s="757" t="s">
        <v>56</v>
      </c>
      <c r="B162" s="769"/>
      <c r="C162" s="769"/>
      <c r="D162" s="769"/>
      <c r="E162" s="769"/>
      <c r="F162" s="758"/>
      <c r="G162" s="443">
        <f>SUM(G160:G161)</f>
        <v>15741.199999999999</v>
      </c>
      <c r="H162" s="6"/>
      <c r="I162" s="6"/>
    </row>
    <row r="163" spans="1:9" ht="15.75" x14ac:dyDescent="0.25">
      <c r="A163" s="770" t="s">
        <v>19</v>
      </c>
      <c r="B163" s="770"/>
      <c r="C163" s="770"/>
      <c r="D163" s="770"/>
      <c r="E163" s="770"/>
      <c r="F163" s="770"/>
      <c r="G163" s="159"/>
      <c r="H163" s="6"/>
      <c r="I163" s="6"/>
    </row>
    <row r="164" spans="1:9" ht="15.75" x14ac:dyDescent="0.25">
      <c r="A164" s="6"/>
      <c r="B164" s="6"/>
      <c r="C164" s="6"/>
      <c r="D164" s="157">
        <f>D156</f>
        <v>0.27139999999999997</v>
      </c>
      <c r="E164" s="6"/>
      <c r="F164" s="6"/>
      <c r="G164" s="159"/>
      <c r="H164" s="6"/>
      <c r="I164" s="6"/>
    </row>
    <row r="165" spans="1:9" ht="3.6" customHeight="1" x14ac:dyDescent="0.25">
      <c r="A165" s="703" t="s">
        <v>21</v>
      </c>
      <c r="B165" s="703" t="s">
        <v>11</v>
      </c>
      <c r="C165" s="307"/>
      <c r="D165" s="703" t="s">
        <v>14</v>
      </c>
      <c r="E165" s="703" t="s">
        <v>90</v>
      </c>
      <c r="F165" s="703" t="s">
        <v>6</v>
      </c>
      <c r="G165" s="159"/>
      <c r="H165" s="6"/>
      <c r="I165" s="6"/>
    </row>
    <row r="166" spans="1:9" ht="24" customHeight="1" x14ac:dyDescent="0.25">
      <c r="A166" s="703"/>
      <c r="B166" s="703"/>
      <c r="C166" s="307"/>
      <c r="D166" s="703"/>
      <c r="E166" s="703"/>
      <c r="F166" s="703"/>
      <c r="G166" s="159"/>
      <c r="H166" s="6"/>
      <c r="I166" s="6"/>
    </row>
    <row r="167" spans="1:9" ht="16.5" thickBot="1" x14ac:dyDescent="0.3">
      <c r="A167" s="307">
        <v>1</v>
      </c>
      <c r="B167" s="307">
        <v>2</v>
      </c>
      <c r="C167" s="307"/>
      <c r="D167" s="307">
        <v>3</v>
      </c>
      <c r="E167" s="307">
        <v>4</v>
      </c>
      <c r="F167" s="307" t="s">
        <v>285</v>
      </c>
      <c r="G167" s="159"/>
      <c r="H167" s="6"/>
      <c r="I167" s="6"/>
    </row>
    <row r="168" spans="1:9" ht="15.75" x14ac:dyDescent="0.25">
      <c r="A168" s="404" t="s">
        <v>283</v>
      </c>
      <c r="B168" s="307" t="s">
        <v>22</v>
      </c>
      <c r="C168" s="307"/>
      <c r="D168" s="407">
        <f>12*D164</f>
        <v>3.2567999999999997</v>
      </c>
      <c r="E168" s="409">
        <v>3000</v>
      </c>
      <c r="F168" s="377">
        <f>D168*E168</f>
        <v>9770.4</v>
      </c>
      <c r="G168" s="159"/>
      <c r="H168" s="6"/>
      <c r="I168" s="6"/>
    </row>
    <row r="169" spans="1:9" ht="15.75" x14ac:dyDescent="0.25">
      <c r="A169" s="405" t="s">
        <v>181</v>
      </c>
      <c r="B169" s="307" t="str">
        <f>'инновации+добровольчество0,3643'!B154</f>
        <v>договор</v>
      </c>
      <c r="C169" s="307"/>
      <c r="D169" s="149">
        <f>2*D164</f>
        <v>0.54279999999999995</v>
      </c>
      <c r="E169" s="354">
        <v>29988.28</v>
      </c>
      <c r="F169" s="377">
        <f>D169*E169</f>
        <v>16277.638383999998</v>
      </c>
      <c r="G169" s="159"/>
      <c r="H169" s="6"/>
      <c r="I169" s="6"/>
    </row>
    <row r="170" spans="1:9" ht="15.75" x14ac:dyDescent="0.25">
      <c r="A170" s="405" t="s">
        <v>202</v>
      </c>
      <c r="B170" s="307" t="str">
        <f>'инновации+добровольчество0,3643'!B155</f>
        <v>договор</v>
      </c>
      <c r="C170" s="307"/>
      <c r="D170" s="149">
        <f>D164</f>
        <v>0.27139999999999997</v>
      </c>
      <c r="E170" s="354">
        <v>6712.44</v>
      </c>
      <c r="F170" s="377">
        <f t="shared" ref="F170:F184" si="10">D170*E170</f>
        <v>1821.7562159999998</v>
      </c>
      <c r="G170" s="159"/>
      <c r="H170" s="6"/>
      <c r="I170" s="6"/>
    </row>
    <row r="171" spans="1:9" ht="25.5" x14ac:dyDescent="0.25">
      <c r="A171" s="405" t="s">
        <v>108</v>
      </c>
      <c r="B171" s="307" t="str">
        <f>'инновации+добровольчество0,3643'!B157</f>
        <v>договор</v>
      </c>
      <c r="C171" s="307"/>
      <c r="D171" s="149">
        <f>D164</f>
        <v>0.27139999999999997</v>
      </c>
      <c r="E171" s="354">
        <v>40000</v>
      </c>
      <c r="F171" s="377">
        <f t="shared" si="10"/>
        <v>10855.999999999998</v>
      </c>
      <c r="G171" s="159"/>
      <c r="H171" s="6"/>
      <c r="I171" s="6"/>
    </row>
    <row r="172" spans="1:9" ht="15.75" x14ac:dyDescent="0.25">
      <c r="A172" s="405" t="s">
        <v>209</v>
      </c>
      <c r="B172" s="307" t="str">
        <f>'инновации+добровольчество0,3643'!B158</f>
        <v>договор</v>
      </c>
      <c r="C172" s="307"/>
      <c r="D172" s="149">
        <f>210*D164</f>
        <v>56.993999999999993</v>
      </c>
      <c r="E172" s="354">
        <v>249.1</v>
      </c>
      <c r="F172" s="377">
        <f t="shared" si="10"/>
        <v>14197.205399999997</v>
      </c>
      <c r="G172" s="159"/>
      <c r="H172" s="6"/>
      <c r="I172" s="6"/>
    </row>
    <row r="173" spans="1:9" ht="15.75" x14ac:dyDescent="0.25">
      <c r="A173" s="405" t="s">
        <v>244</v>
      </c>
      <c r="B173" s="307" t="str">
        <f>'инновации+добровольчество0,3643'!B159</f>
        <v>договор</v>
      </c>
      <c r="C173" s="307"/>
      <c r="D173" s="353">
        <f>12*D164</f>
        <v>3.2567999999999997</v>
      </c>
      <c r="E173" s="169">
        <v>1000</v>
      </c>
      <c r="F173" s="377">
        <f t="shared" si="10"/>
        <v>3256.7999999999997</v>
      </c>
      <c r="G173" s="159"/>
      <c r="H173" s="6"/>
      <c r="I173" s="6"/>
    </row>
    <row r="174" spans="1:9" ht="16.5" thickBot="1" x14ac:dyDescent="0.3">
      <c r="A174" s="406" t="s">
        <v>284</v>
      </c>
      <c r="B174" s="307" t="str">
        <f>'инновации+добровольчество0,3643'!B161</f>
        <v>договор</v>
      </c>
      <c r="C174" s="307"/>
      <c r="D174" s="408">
        <v>0</v>
      </c>
      <c r="E174" s="410">
        <v>20000</v>
      </c>
      <c r="F174" s="377">
        <f t="shared" si="10"/>
        <v>0</v>
      </c>
      <c r="G174" s="159"/>
      <c r="H174" s="6"/>
      <c r="I174" s="6"/>
    </row>
    <row r="175" spans="1:9" ht="15.75" x14ac:dyDescent="0.25">
      <c r="A175" s="411" t="s">
        <v>297</v>
      </c>
      <c r="B175" s="307" t="str">
        <f>'инновации+добровольчество0,3643'!B162</f>
        <v>договор</v>
      </c>
      <c r="C175" s="307"/>
      <c r="D175" s="416">
        <f>3*D164</f>
        <v>0.81419999999999992</v>
      </c>
      <c r="E175" s="418">
        <v>1114</v>
      </c>
      <c r="F175" s="320">
        <f t="shared" si="10"/>
        <v>907.01879999999994</v>
      </c>
      <c r="G175" s="159"/>
      <c r="H175" s="6"/>
      <c r="I175" s="6"/>
    </row>
    <row r="176" spans="1:9" ht="15.75" x14ac:dyDescent="0.25">
      <c r="A176" s="412" t="s">
        <v>195</v>
      </c>
      <c r="B176" s="307" t="str">
        <f>'инновации+добровольчество0,3643'!B163</f>
        <v>договор</v>
      </c>
      <c r="C176" s="307"/>
      <c r="D176" s="66">
        <f>D164</f>
        <v>0.27139999999999997</v>
      </c>
      <c r="E176" s="356">
        <v>1670</v>
      </c>
      <c r="F176" s="320">
        <f t="shared" si="10"/>
        <v>453.23799999999994</v>
      </c>
      <c r="G176" s="159"/>
      <c r="H176" s="6"/>
      <c r="I176" s="6"/>
    </row>
    <row r="177" spans="1:9" ht="15.75" x14ac:dyDescent="0.25">
      <c r="A177" s="412" t="s">
        <v>286</v>
      </c>
      <c r="B177" s="307" t="str">
        <f>'инновации+добровольчество0,3643'!B165</f>
        <v>договор</v>
      </c>
      <c r="C177" s="307"/>
      <c r="D177" s="66">
        <v>0</v>
      </c>
      <c r="E177" s="356">
        <v>95</v>
      </c>
      <c r="F177" s="320">
        <f t="shared" si="10"/>
        <v>0</v>
      </c>
      <c r="G177" s="159"/>
      <c r="H177" s="6"/>
      <c r="I177" s="6"/>
    </row>
    <row r="178" spans="1:9" ht="15.75" x14ac:dyDescent="0.25">
      <c r="A178" s="412" t="s">
        <v>200</v>
      </c>
      <c r="B178" s="307" t="str">
        <f>'инновации+добровольчество0,3643'!B166</f>
        <v>договор</v>
      </c>
      <c r="C178" s="307"/>
      <c r="D178" s="66">
        <f>12*D164</f>
        <v>3.2567999999999997</v>
      </c>
      <c r="E178" s="356">
        <v>8000</v>
      </c>
      <c r="F178" s="320">
        <f t="shared" si="10"/>
        <v>26054.399999999998</v>
      </c>
      <c r="G178" s="159"/>
      <c r="H178" s="6"/>
      <c r="I178" s="6"/>
    </row>
    <row r="179" spans="1:9" ht="15.75" x14ac:dyDescent="0.25">
      <c r="A179" s="412" t="s">
        <v>355</v>
      </c>
      <c r="B179" s="307" t="str">
        <f>'инновации+добровольчество0,3643'!B167</f>
        <v>договор</v>
      </c>
      <c r="C179" s="307"/>
      <c r="D179" s="66">
        <f>12*D164</f>
        <v>3.2567999999999997</v>
      </c>
      <c r="E179" s="356">
        <v>2000</v>
      </c>
      <c r="F179" s="320">
        <f t="shared" si="10"/>
        <v>6513.5999999999995</v>
      </c>
      <c r="G179" s="159"/>
      <c r="H179" s="6"/>
      <c r="I179" s="6"/>
    </row>
    <row r="180" spans="1:9" ht="15.75" x14ac:dyDescent="0.25">
      <c r="A180" s="412" t="s">
        <v>201</v>
      </c>
      <c r="B180" s="307" t="str">
        <f>'инновации+добровольчество0,3643'!B168</f>
        <v>договор</v>
      </c>
      <c r="C180" s="307"/>
      <c r="D180" s="66">
        <f>12*D164</f>
        <v>3.2567999999999997</v>
      </c>
      <c r="E180" s="356">
        <v>5000</v>
      </c>
      <c r="F180" s="320">
        <f t="shared" si="10"/>
        <v>16283.999999999998</v>
      </c>
      <c r="G180" s="159"/>
      <c r="H180" s="6"/>
      <c r="I180" s="6"/>
    </row>
    <row r="181" spans="1:9" ht="15.75" x14ac:dyDescent="0.25">
      <c r="A181" s="412" t="s">
        <v>356</v>
      </c>
      <c r="B181" s="307" t="s">
        <v>22</v>
      </c>
      <c r="C181" s="307"/>
      <c r="D181" s="476">
        <v>0</v>
      </c>
      <c r="E181" s="356">
        <v>3800</v>
      </c>
      <c r="F181" s="320">
        <f t="shared" si="10"/>
        <v>0</v>
      </c>
      <c r="G181" s="159"/>
      <c r="H181" s="6"/>
      <c r="I181" s="6"/>
    </row>
    <row r="182" spans="1:9" ht="15.75" x14ac:dyDescent="0.25">
      <c r="A182" s="413" t="s">
        <v>203</v>
      </c>
      <c r="B182" s="307" t="s">
        <v>22</v>
      </c>
      <c r="C182" s="307"/>
      <c r="D182" s="66">
        <v>0</v>
      </c>
      <c r="E182" s="356">
        <v>5500</v>
      </c>
      <c r="F182" s="320">
        <f t="shared" si="10"/>
        <v>0</v>
      </c>
      <c r="G182" s="159"/>
      <c r="H182" s="6"/>
      <c r="I182" s="6"/>
    </row>
    <row r="183" spans="1:9" ht="15.75" x14ac:dyDescent="0.25">
      <c r="A183" s="414" t="s">
        <v>287</v>
      </c>
      <c r="B183" s="307" t="s">
        <v>22</v>
      </c>
      <c r="C183" s="307"/>
      <c r="D183" s="355">
        <f>D164</f>
        <v>0.27139999999999997</v>
      </c>
      <c r="E183" s="357">
        <v>8088</v>
      </c>
      <c r="F183" s="320">
        <f t="shared" si="10"/>
        <v>2195.0831999999996</v>
      </c>
      <c r="G183" s="159"/>
      <c r="H183" s="6"/>
      <c r="I183" s="6"/>
    </row>
    <row r="184" spans="1:9" ht="16.5" thickBot="1" x14ac:dyDescent="0.3">
      <c r="A184" s="415" t="s">
        <v>298</v>
      </c>
      <c r="B184" s="307" t="s">
        <v>22</v>
      </c>
      <c r="C184" s="307"/>
      <c r="D184" s="417">
        <f>5*D164</f>
        <v>1.3569999999999998</v>
      </c>
      <c r="E184" s="419">
        <v>0</v>
      </c>
      <c r="F184" s="320">
        <f t="shared" si="10"/>
        <v>0</v>
      </c>
      <c r="G184" s="159"/>
      <c r="H184" s="6"/>
      <c r="I184" s="6"/>
    </row>
    <row r="185" spans="1:9" ht="18.75" x14ac:dyDescent="0.25">
      <c r="A185" s="708" t="s">
        <v>23</v>
      </c>
      <c r="B185" s="709"/>
      <c r="C185" s="709"/>
      <c r="D185" s="709"/>
      <c r="E185" s="710"/>
      <c r="F185" s="446">
        <f>SUM(F168:F184)</f>
        <v>108587.14</v>
      </c>
      <c r="G185" s="159"/>
      <c r="H185" s="6"/>
      <c r="I185" s="6"/>
    </row>
    <row r="186" spans="1:9" ht="15.75" x14ac:dyDescent="0.25">
      <c r="A186" s="742"/>
      <c r="B186" s="743"/>
      <c r="C186" s="743"/>
      <c r="D186" s="743"/>
      <c r="E186" s="743"/>
      <c r="F186" s="744"/>
      <c r="G186" s="159"/>
      <c r="H186" s="6"/>
      <c r="I186" s="6"/>
    </row>
    <row r="187" spans="1:9" ht="15.75" x14ac:dyDescent="0.25">
      <c r="A187" s="745">
        <f>D164</f>
        <v>0.27139999999999997</v>
      </c>
      <c r="B187" s="746"/>
      <c r="C187" s="746"/>
      <c r="D187" s="746"/>
      <c r="E187" s="746"/>
      <c r="F187" s="747"/>
      <c r="G187" s="159"/>
      <c r="H187" s="6"/>
      <c r="I187" s="6"/>
    </row>
    <row r="188" spans="1:9" ht="15.75" x14ac:dyDescent="0.25">
      <c r="A188" s="546" t="s">
        <v>30</v>
      </c>
      <c r="B188" s="546" t="s">
        <v>11</v>
      </c>
      <c r="C188" s="94"/>
      <c r="D188" s="546" t="s">
        <v>14</v>
      </c>
      <c r="E188" s="546" t="s">
        <v>15</v>
      </c>
      <c r="F188" s="546" t="s">
        <v>6</v>
      </c>
      <c r="G188" s="159"/>
      <c r="H188" s="6"/>
      <c r="I188" s="6"/>
    </row>
    <row r="189" spans="1:9" ht="3" customHeight="1" x14ac:dyDescent="0.25">
      <c r="A189" s="546"/>
      <c r="B189" s="546"/>
      <c r="C189" s="94"/>
      <c r="D189" s="546"/>
      <c r="E189" s="546"/>
      <c r="F189" s="546"/>
      <c r="G189" s="159"/>
      <c r="H189" s="6"/>
      <c r="I189" s="6"/>
    </row>
    <row r="190" spans="1:9" ht="15.75" x14ac:dyDescent="0.25">
      <c r="A190" s="94">
        <v>1</v>
      </c>
      <c r="B190" s="94">
        <v>2</v>
      </c>
      <c r="C190" s="94"/>
      <c r="D190" s="94">
        <v>3</v>
      </c>
      <c r="E190" s="94">
        <v>7</v>
      </c>
      <c r="F190" s="94" t="s">
        <v>175</v>
      </c>
      <c r="G190" s="159"/>
      <c r="H190" s="6"/>
      <c r="I190" s="6"/>
    </row>
    <row r="191" spans="1:9" ht="17.25" thickBot="1" x14ac:dyDescent="0.3">
      <c r="A191" s="378" t="s">
        <v>299</v>
      </c>
      <c r="B191" s="94" t="s">
        <v>288</v>
      </c>
      <c r="C191" s="94"/>
      <c r="D191" s="479">
        <f>A187</f>
        <v>0.27139999999999997</v>
      </c>
      <c r="E191" s="481">
        <v>8000</v>
      </c>
      <c r="F191" s="445">
        <f t="shared" ref="F191" si="11">D191*E191</f>
        <v>2171.1999999999998</v>
      </c>
      <c r="G191" s="159"/>
      <c r="H191" s="6"/>
      <c r="I191" s="6"/>
    </row>
    <row r="192" spans="1:9" ht="15.75" x14ac:dyDescent="0.25">
      <c r="A192" s="372" t="s">
        <v>357</v>
      </c>
      <c r="B192" s="203" t="s">
        <v>84</v>
      </c>
      <c r="C192" s="303"/>
      <c r="D192" s="480">
        <f>2*A187</f>
        <v>0.54279999999999995</v>
      </c>
      <c r="E192" s="354">
        <v>5600</v>
      </c>
      <c r="F192" s="295">
        <f>D192*E192+0.01</f>
        <v>3039.69</v>
      </c>
      <c r="G192" s="159">
        <f>[2]расшифровки!$J460</f>
        <v>11200</v>
      </c>
      <c r="H192" s="6"/>
      <c r="I192" s="6"/>
    </row>
    <row r="193" spans="1:9" ht="15.75" x14ac:dyDescent="0.25">
      <c r="A193" s="372" t="s">
        <v>358</v>
      </c>
      <c r="B193" s="203" t="s">
        <v>84</v>
      </c>
      <c r="C193" s="303"/>
      <c r="D193" s="480">
        <f>8*A187</f>
        <v>2.1711999999999998</v>
      </c>
      <c r="E193" s="354">
        <v>4400</v>
      </c>
      <c r="F193" s="295">
        <f>D193*E193</f>
        <v>9553.2799999999988</v>
      </c>
      <c r="G193" s="159">
        <f>[2]расшифровки!$J461</f>
        <v>35200</v>
      </c>
      <c r="H193" s="6"/>
      <c r="I193" s="6"/>
    </row>
    <row r="194" spans="1:9" ht="15.75" x14ac:dyDescent="0.25">
      <c r="A194" s="372" t="s">
        <v>359</v>
      </c>
      <c r="B194" s="203" t="s">
        <v>84</v>
      </c>
      <c r="C194" s="303"/>
      <c r="D194" s="480">
        <f>4*A187</f>
        <v>1.0855999999999999</v>
      </c>
      <c r="E194" s="354">
        <v>3200</v>
      </c>
      <c r="F194" s="295">
        <f t="shared" ref="F194:F257" si="12">D194*E194</f>
        <v>3473.9199999999996</v>
      </c>
      <c r="G194" s="159">
        <f>[2]расшифровки!$J462</f>
        <v>12800</v>
      </c>
      <c r="H194" s="6"/>
      <c r="I194" s="6"/>
    </row>
    <row r="195" spans="1:9" ht="15.75" x14ac:dyDescent="0.25">
      <c r="A195" s="372" t="s">
        <v>360</v>
      </c>
      <c r="B195" s="203" t="s">
        <v>84</v>
      </c>
      <c r="C195" s="303"/>
      <c r="D195" s="480">
        <f>33*A187</f>
        <v>8.9561999999999991</v>
      </c>
      <c r="E195" s="354">
        <v>941.97</v>
      </c>
      <c r="F195" s="295">
        <f>D195*E195-0.01</f>
        <v>8436.4617139999991</v>
      </c>
      <c r="G195" s="159">
        <f>[2]расшифровки!$J463</f>
        <v>31085.000000000004</v>
      </c>
      <c r="H195" s="6"/>
      <c r="I195" s="6"/>
    </row>
    <row r="196" spans="1:9" ht="15.75" x14ac:dyDescent="0.25">
      <c r="A196" s="372" t="s">
        <v>361</v>
      </c>
      <c r="B196" s="203" t="s">
        <v>84</v>
      </c>
      <c r="C196" s="303"/>
      <c r="D196" s="480">
        <f>10*A187</f>
        <v>2.7139999999999995</v>
      </c>
      <c r="E196" s="354">
        <v>1357</v>
      </c>
      <c r="F196" s="295">
        <f t="shared" si="12"/>
        <v>3682.8979999999992</v>
      </c>
      <c r="G196" s="159">
        <f>[2]расшифровки!$J464</f>
        <v>13570</v>
      </c>
      <c r="H196" s="6"/>
      <c r="I196" s="6"/>
    </row>
    <row r="197" spans="1:9" ht="15.75" x14ac:dyDescent="0.25">
      <c r="A197" s="477" t="s">
        <v>362</v>
      </c>
      <c r="B197" s="203" t="s">
        <v>84</v>
      </c>
      <c r="C197" s="303"/>
      <c r="D197" s="480">
        <f>9*A187</f>
        <v>2.4425999999999997</v>
      </c>
      <c r="E197" s="354">
        <v>408.98</v>
      </c>
      <c r="F197" s="295">
        <f t="shared" si="12"/>
        <v>998.97454799999991</v>
      </c>
      <c r="G197" s="159">
        <f>[2]расшифровки!$J465</f>
        <v>3680.86</v>
      </c>
      <c r="H197" s="6"/>
      <c r="I197" s="6"/>
    </row>
    <row r="198" spans="1:9" ht="15.75" x14ac:dyDescent="0.25">
      <c r="A198" s="477" t="s">
        <v>363</v>
      </c>
      <c r="B198" s="203" t="s">
        <v>84</v>
      </c>
      <c r="C198" s="303"/>
      <c r="D198" s="480">
        <f>3*A187</f>
        <v>0.81419999999999992</v>
      </c>
      <c r="E198" s="354">
        <v>153.13</v>
      </c>
      <c r="F198" s="295">
        <f t="shared" si="12"/>
        <v>124.67844599999998</v>
      </c>
      <c r="G198" s="159">
        <f>[2]расшифровки!$J466</f>
        <v>459.4</v>
      </c>
      <c r="H198" s="6"/>
      <c r="I198" s="6"/>
    </row>
    <row r="199" spans="1:9" ht="15.75" x14ac:dyDescent="0.25">
      <c r="A199" s="477" t="s">
        <v>364</v>
      </c>
      <c r="B199" s="203" t="s">
        <v>84</v>
      </c>
      <c r="C199" s="303"/>
      <c r="D199" s="480">
        <f>96*A187</f>
        <v>26.054399999999998</v>
      </c>
      <c r="E199" s="354">
        <v>26.54</v>
      </c>
      <c r="F199" s="295">
        <f t="shared" si="12"/>
        <v>691.48377599999992</v>
      </c>
      <c r="G199" s="159">
        <f>[2]расшифровки!$J467</f>
        <v>2547.84</v>
      </c>
      <c r="H199" s="6"/>
      <c r="I199" s="6"/>
    </row>
    <row r="200" spans="1:9" ht="15.75" x14ac:dyDescent="0.25">
      <c r="A200" s="477" t="s">
        <v>365</v>
      </c>
      <c r="B200" s="203" t="s">
        <v>84</v>
      </c>
      <c r="C200" s="303"/>
      <c r="D200" s="480">
        <f>2*A187</f>
        <v>0.54279999999999995</v>
      </c>
      <c r="E200" s="354">
        <v>80.36</v>
      </c>
      <c r="F200" s="295">
        <f t="shared" si="12"/>
        <v>43.619407999999993</v>
      </c>
      <c r="G200" s="159">
        <f>[2]расшифровки!$J468</f>
        <v>160.72</v>
      </c>
      <c r="H200" s="6"/>
      <c r="I200" s="6"/>
    </row>
    <row r="201" spans="1:9" ht="15.75" x14ac:dyDescent="0.25">
      <c r="A201" s="477" t="s">
        <v>366</v>
      </c>
      <c r="B201" s="203" t="s">
        <v>84</v>
      </c>
      <c r="C201" s="303"/>
      <c r="D201" s="480">
        <f>20*A187</f>
        <v>5.427999999999999</v>
      </c>
      <c r="E201" s="354">
        <v>121.75</v>
      </c>
      <c r="F201" s="295">
        <f t="shared" si="12"/>
        <v>660.85899999999992</v>
      </c>
      <c r="G201" s="159">
        <f>[2]расшифровки!$J469</f>
        <v>2435</v>
      </c>
      <c r="H201" s="6"/>
      <c r="I201" s="6"/>
    </row>
    <row r="202" spans="1:9" ht="15.75" x14ac:dyDescent="0.25">
      <c r="A202" s="477" t="s">
        <v>367</v>
      </c>
      <c r="B202" s="203" t="s">
        <v>84</v>
      </c>
      <c r="C202" s="303"/>
      <c r="D202" s="480">
        <f>2*A187</f>
        <v>0.54279999999999995</v>
      </c>
      <c r="E202" s="354">
        <v>109.39</v>
      </c>
      <c r="F202" s="295">
        <f t="shared" si="12"/>
        <v>59.376891999999998</v>
      </c>
      <c r="G202" s="159">
        <f>[2]расшифровки!$J470</f>
        <v>218.78</v>
      </c>
      <c r="H202" s="6"/>
      <c r="I202" s="6"/>
    </row>
    <row r="203" spans="1:9" ht="15.75" x14ac:dyDescent="0.25">
      <c r="A203" s="477" t="s">
        <v>368</v>
      </c>
      <c r="B203" s="203" t="s">
        <v>84</v>
      </c>
      <c r="C203" s="303"/>
      <c r="D203" s="480">
        <f>100*A187</f>
        <v>27.139999999999997</v>
      </c>
      <c r="E203" s="354">
        <v>11.44</v>
      </c>
      <c r="F203" s="295">
        <f t="shared" si="12"/>
        <v>310.48159999999996</v>
      </c>
      <c r="G203" s="159">
        <f>[2]расшифровки!$J471</f>
        <v>1144</v>
      </c>
      <c r="H203" s="6"/>
      <c r="I203" s="6"/>
    </row>
    <row r="204" spans="1:9" ht="15.75" x14ac:dyDescent="0.25">
      <c r="A204" s="477" t="s">
        <v>369</v>
      </c>
      <c r="B204" s="203" t="s">
        <v>84</v>
      </c>
      <c r="C204" s="303"/>
      <c r="D204" s="480">
        <f>56*A187</f>
        <v>15.198399999999999</v>
      </c>
      <c r="E204" s="354">
        <v>92.63</v>
      </c>
      <c r="F204" s="295">
        <f t="shared" ref="F204:F205" si="13">D204*E204</f>
        <v>1407.8277919999998</v>
      </c>
      <c r="G204" s="159">
        <f>[2]расшифровки!$J472</f>
        <v>5187.4799999999996</v>
      </c>
      <c r="H204" s="6"/>
      <c r="I204" s="6"/>
    </row>
    <row r="205" spans="1:9" ht="15.75" x14ac:dyDescent="0.25">
      <c r="A205" s="477" t="s">
        <v>370</v>
      </c>
      <c r="B205" s="203" t="s">
        <v>84</v>
      </c>
      <c r="C205" s="303"/>
      <c r="D205" s="480">
        <f>2*A187</f>
        <v>0.54279999999999995</v>
      </c>
      <c r="E205" s="354">
        <v>113.92</v>
      </c>
      <c r="F205" s="295">
        <f t="shared" si="13"/>
        <v>61.835775999999996</v>
      </c>
      <c r="G205" s="159">
        <f>[2]расшифровки!$J473</f>
        <v>227.85</v>
      </c>
      <c r="H205" s="6"/>
      <c r="I205" s="6"/>
    </row>
    <row r="206" spans="1:9" ht="15.75" x14ac:dyDescent="0.25">
      <c r="A206" s="477" t="s">
        <v>371</v>
      </c>
      <c r="B206" s="203" t="s">
        <v>84</v>
      </c>
      <c r="C206" s="303"/>
      <c r="D206" s="480">
        <f>10*A187</f>
        <v>2.7139999999999995</v>
      </c>
      <c r="E206" s="354">
        <v>75.11</v>
      </c>
      <c r="F206" s="295">
        <f t="shared" si="12"/>
        <v>203.84853999999996</v>
      </c>
      <c r="G206" s="159">
        <f>[2]расшифровки!$J474</f>
        <v>751.1</v>
      </c>
      <c r="H206" s="6"/>
      <c r="I206" s="6"/>
    </row>
    <row r="207" spans="1:9" ht="15.75" x14ac:dyDescent="0.25">
      <c r="A207" s="477" t="s">
        <v>372</v>
      </c>
      <c r="B207" s="203" t="s">
        <v>84</v>
      </c>
      <c r="C207" s="303"/>
      <c r="D207" s="480">
        <f>10*A187</f>
        <v>2.7139999999999995</v>
      </c>
      <c r="E207" s="354">
        <v>55.881999999999998</v>
      </c>
      <c r="F207" s="295">
        <f>D207*E207-0.01</f>
        <v>151.65374799999998</v>
      </c>
      <c r="G207" s="159">
        <f>[2]расшифровки!$J475</f>
        <v>558.81999999999994</v>
      </c>
      <c r="H207" s="6"/>
      <c r="I207" s="6"/>
    </row>
    <row r="208" spans="1:9" ht="15.75" x14ac:dyDescent="0.25">
      <c r="A208" s="477" t="s">
        <v>373</v>
      </c>
      <c r="B208" s="203" t="s">
        <v>84</v>
      </c>
      <c r="C208" s="303"/>
      <c r="D208" s="480">
        <f>49*A187</f>
        <v>13.298599999999999</v>
      </c>
      <c r="E208" s="354">
        <v>101.88</v>
      </c>
      <c r="F208" s="295">
        <f t="shared" si="12"/>
        <v>1354.8613679999999</v>
      </c>
      <c r="G208" s="159">
        <f>[2]расшифровки!$J476</f>
        <v>4982.2700000000004</v>
      </c>
      <c r="H208" s="6"/>
      <c r="I208" s="6"/>
    </row>
    <row r="209" spans="1:9" ht="15.75" x14ac:dyDescent="0.25">
      <c r="A209" s="477" t="s">
        <v>374</v>
      </c>
      <c r="B209" s="203" t="s">
        <v>84</v>
      </c>
      <c r="C209" s="303"/>
      <c r="D209" s="480">
        <f>47*A187</f>
        <v>12.755799999999999</v>
      </c>
      <c r="E209" s="354">
        <v>170.27</v>
      </c>
      <c r="F209" s="295">
        <f t="shared" si="12"/>
        <v>2171.9300659999999</v>
      </c>
      <c r="G209" s="159">
        <f>[2]расшифровки!$J477</f>
        <v>8002.78</v>
      </c>
      <c r="H209" s="6"/>
      <c r="I209" s="6"/>
    </row>
    <row r="210" spans="1:9" ht="15.75" x14ac:dyDescent="0.25">
      <c r="A210" s="477" t="s">
        <v>375</v>
      </c>
      <c r="B210" s="203" t="s">
        <v>84</v>
      </c>
      <c r="C210" s="303"/>
      <c r="D210" s="480">
        <f>A187</f>
        <v>0.27139999999999997</v>
      </c>
      <c r="E210" s="354">
        <v>726.43</v>
      </c>
      <c r="F210" s="295">
        <f t="shared" si="12"/>
        <v>197.15310199999996</v>
      </c>
      <c r="G210" s="159">
        <f>[2]расшифровки!$J478</f>
        <v>726.43</v>
      </c>
      <c r="H210" s="6"/>
      <c r="I210" s="6"/>
    </row>
    <row r="211" spans="1:9" ht="15.75" x14ac:dyDescent="0.25">
      <c r="A211" s="477" t="s">
        <v>376</v>
      </c>
      <c r="B211" s="203" t="s">
        <v>84</v>
      </c>
      <c r="C211" s="303"/>
      <c r="D211" s="480">
        <f>5*A187</f>
        <v>1.3569999999999998</v>
      </c>
      <c r="E211" s="354">
        <v>246.92</v>
      </c>
      <c r="F211" s="295">
        <f t="shared" si="12"/>
        <v>335.07043999999991</v>
      </c>
      <c r="G211" s="159">
        <f>[2]расшифровки!$J479</f>
        <v>1234.5899999999999</v>
      </c>
      <c r="H211" s="6"/>
      <c r="I211" s="6"/>
    </row>
    <row r="212" spans="1:9" ht="15.75" x14ac:dyDescent="0.25">
      <c r="A212" s="477" t="s">
        <v>377</v>
      </c>
      <c r="B212" s="203" t="s">
        <v>84</v>
      </c>
      <c r="C212" s="303"/>
      <c r="D212" s="480">
        <f>15*A187</f>
        <v>4.0709999999999997</v>
      </c>
      <c r="E212" s="354">
        <v>98.47</v>
      </c>
      <c r="F212" s="295">
        <f t="shared" si="12"/>
        <v>400.87136999999996</v>
      </c>
      <c r="G212" s="159">
        <f>[2]расшифровки!$J480</f>
        <v>1479.6</v>
      </c>
      <c r="H212" s="6"/>
      <c r="I212" s="6"/>
    </row>
    <row r="213" spans="1:9" ht="15.75" x14ac:dyDescent="0.25">
      <c r="A213" s="477" t="s">
        <v>378</v>
      </c>
      <c r="B213" s="203" t="s">
        <v>84</v>
      </c>
      <c r="C213" s="303"/>
      <c r="D213" s="480">
        <f>107*A187</f>
        <v>29.039799999999996</v>
      </c>
      <c r="E213" s="354">
        <v>23.05</v>
      </c>
      <c r="F213" s="295">
        <f t="shared" si="12"/>
        <v>669.36738999999989</v>
      </c>
      <c r="G213" s="159">
        <f>[2]расшифровки!$J481</f>
        <v>2467.15</v>
      </c>
      <c r="H213" s="6"/>
      <c r="I213" s="6"/>
    </row>
    <row r="214" spans="1:9" ht="15.75" x14ac:dyDescent="0.25">
      <c r="A214" s="477" t="s">
        <v>379</v>
      </c>
      <c r="B214" s="203" t="s">
        <v>84</v>
      </c>
      <c r="C214" s="303"/>
      <c r="D214" s="480">
        <f>50*A187</f>
        <v>13.569999999999999</v>
      </c>
      <c r="E214" s="354">
        <v>378.48</v>
      </c>
      <c r="F214" s="295">
        <f t="shared" si="12"/>
        <v>5135.9735999999994</v>
      </c>
      <c r="G214" s="159">
        <f>[2]расшифровки!$J482</f>
        <v>18923.98</v>
      </c>
      <c r="H214" s="6"/>
      <c r="I214" s="6"/>
    </row>
    <row r="215" spans="1:9" ht="15.75" x14ac:dyDescent="0.25">
      <c r="A215" s="477" t="s">
        <v>380</v>
      </c>
      <c r="B215" s="203" t="s">
        <v>84</v>
      </c>
      <c r="C215" s="303"/>
      <c r="D215" s="480">
        <f>2*A187</f>
        <v>0.54279999999999995</v>
      </c>
      <c r="E215" s="354">
        <v>142.08000000000001</v>
      </c>
      <c r="F215" s="295">
        <f t="shared" si="12"/>
        <v>77.121024000000006</v>
      </c>
      <c r="G215" s="159">
        <f>[2]расшифровки!$J483</f>
        <v>284.16000000000003</v>
      </c>
      <c r="H215" s="6"/>
      <c r="I215" s="6"/>
    </row>
    <row r="216" spans="1:9" ht="15.75" x14ac:dyDescent="0.25">
      <c r="A216" s="477" t="s">
        <v>381</v>
      </c>
      <c r="B216" s="203" t="s">
        <v>84</v>
      </c>
      <c r="C216" s="303"/>
      <c r="D216" s="480">
        <f>190*A187</f>
        <v>51.565999999999995</v>
      </c>
      <c r="E216" s="354">
        <v>27.88</v>
      </c>
      <c r="F216" s="295">
        <f t="shared" si="12"/>
        <v>1437.6600799999999</v>
      </c>
      <c r="G216" s="159">
        <f>[2]расшифровки!$J484</f>
        <v>5296.7</v>
      </c>
      <c r="H216" s="6"/>
      <c r="I216" s="6"/>
    </row>
    <row r="217" spans="1:9" ht="15.75" x14ac:dyDescent="0.25">
      <c r="A217" s="477" t="s">
        <v>382</v>
      </c>
      <c r="B217" s="203" t="s">
        <v>84</v>
      </c>
      <c r="C217" s="303"/>
      <c r="D217" s="480">
        <f>2*A187</f>
        <v>0.54279999999999995</v>
      </c>
      <c r="E217" s="354">
        <v>740.15499999999997</v>
      </c>
      <c r="F217" s="295">
        <f t="shared" si="12"/>
        <v>401.75613399999997</v>
      </c>
      <c r="G217" s="159">
        <f>[2]расшифровки!$J485</f>
        <v>1480.31</v>
      </c>
      <c r="H217" s="6"/>
      <c r="I217" s="6"/>
    </row>
    <row r="218" spans="1:9" ht="15.75" x14ac:dyDescent="0.25">
      <c r="A218" s="477" t="s">
        <v>383</v>
      </c>
      <c r="B218" s="203" t="s">
        <v>84</v>
      </c>
      <c r="C218" s="303"/>
      <c r="D218" s="480">
        <f>5*A187</f>
        <v>1.3569999999999998</v>
      </c>
      <c r="E218" s="354">
        <v>105.684</v>
      </c>
      <c r="F218" s="295">
        <f t="shared" si="12"/>
        <v>143.41318799999996</v>
      </c>
      <c r="G218" s="159">
        <f>[2]расшифровки!$J486</f>
        <v>528.41999999999996</v>
      </c>
      <c r="H218" s="6"/>
      <c r="I218" s="6"/>
    </row>
    <row r="219" spans="1:9" ht="15.75" x14ac:dyDescent="0.25">
      <c r="A219" s="477" t="s">
        <v>384</v>
      </c>
      <c r="B219" s="203" t="s">
        <v>84</v>
      </c>
      <c r="C219" s="303"/>
      <c r="D219" s="480">
        <f>10*A187</f>
        <v>2.7139999999999995</v>
      </c>
      <c r="E219" s="354">
        <v>265.80500000000001</v>
      </c>
      <c r="F219" s="295">
        <f t="shared" si="12"/>
        <v>721.39476999999988</v>
      </c>
      <c r="G219" s="159">
        <f>[2]расшифровки!$J487</f>
        <v>2658.05</v>
      </c>
      <c r="H219" s="6"/>
      <c r="I219" s="6"/>
    </row>
    <row r="220" spans="1:9" ht="15.75" x14ac:dyDescent="0.25">
      <c r="A220" s="477" t="s">
        <v>385</v>
      </c>
      <c r="B220" s="203" t="s">
        <v>84</v>
      </c>
      <c r="C220" s="303"/>
      <c r="D220" s="480">
        <f>2*A187</f>
        <v>0.54279999999999995</v>
      </c>
      <c r="E220" s="354">
        <v>448.15499999999997</v>
      </c>
      <c r="F220" s="295">
        <f t="shared" si="12"/>
        <v>243.25853399999997</v>
      </c>
      <c r="G220" s="159">
        <f>[2]расшифровки!$J488</f>
        <v>896.31</v>
      </c>
      <c r="H220" s="6"/>
      <c r="I220" s="6"/>
    </row>
    <row r="221" spans="1:9" ht="15.75" x14ac:dyDescent="0.25">
      <c r="A221" s="477" t="s">
        <v>386</v>
      </c>
      <c r="B221" s="203" t="s">
        <v>84</v>
      </c>
      <c r="C221" s="303"/>
      <c r="D221" s="480">
        <f>8*A187</f>
        <v>2.1711999999999998</v>
      </c>
      <c r="E221" s="354">
        <v>6500</v>
      </c>
      <c r="F221" s="295">
        <f>D221*E221-56.09</f>
        <v>14056.71</v>
      </c>
      <c r="G221" s="159">
        <f>[2]расшифровки!$J489</f>
        <v>52000</v>
      </c>
      <c r="H221" s="6"/>
      <c r="I221" s="6"/>
    </row>
    <row r="222" spans="1:9" ht="15.75" x14ac:dyDescent="0.25">
      <c r="A222" s="477" t="s">
        <v>387</v>
      </c>
      <c r="B222" s="203" t="s">
        <v>84</v>
      </c>
      <c r="C222" s="303"/>
      <c r="D222" s="480">
        <f>6*A187</f>
        <v>1.6283999999999998</v>
      </c>
      <c r="E222" s="354">
        <v>2500</v>
      </c>
      <c r="F222" s="295">
        <f t="shared" si="12"/>
        <v>4070.9999999999995</v>
      </c>
      <c r="G222" s="159">
        <f>[2]расшифровки!$J490</f>
        <v>15000</v>
      </c>
      <c r="H222" s="6"/>
      <c r="I222" s="6"/>
    </row>
    <row r="223" spans="1:9" ht="15.75" x14ac:dyDescent="0.25">
      <c r="A223" s="477" t="s">
        <v>388</v>
      </c>
      <c r="B223" s="203" t="s">
        <v>84</v>
      </c>
      <c r="C223" s="303"/>
      <c r="D223" s="480">
        <f>6*A187</f>
        <v>1.6283999999999998</v>
      </c>
      <c r="E223" s="354">
        <v>2500</v>
      </c>
      <c r="F223" s="295">
        <f t="shared" si="12"/>
        <v>4070.9999999999995</v>
      </c>
      <c r="G223" s="159">
        <f>[2]расшифровки!$J491</f>
        <v>15000</v>
      </c>
      <c r="H223" s="6"/>
      <c r="I223" s="6"/>
    </row>
    <row r="224" spans="1:9" ht="15.75" x14ac:dyDescent="0.25">
      <c r="A224" s="477" t="s">
        <v>389</v>
      </c>
      <c r="B224" s="203" t="s">
        <v>84</v>
      </c>
      <c r="C224" s="303"/>
      <c r="D224" s="480">
        <f>6*A187</f>
        <v>1.6283999999999998</v>
      </c>
      <c r="E224" s="354">
        <v>5500</v>
      </c>
      <c r="F224" s="295">
        <f t="shared" si="12"/>
        <v>8956.1999999999989</v>
      </c>
      <c r="G224" s="159">
        <f>[2]расшифровки!$J492</f>
        <v>33000</v>
      </c>
      <c r="H224" s="6"/>
      <c r="I224" s="6"/>
    </row>
    <row r="225" spans="1:9" ht="15.75" x14ac:dyDescent="0.25">
      <c r="A225" s="477" t="s">
        <v>276</v>
      </c>
      <c r="B225" s="203" t="s">
        <v>84</v>
      </c>
      <c r="C225" s="303"/>
      <c r="D225" s="480">
        <f>40*A187</f>
        <v>10.855999999999998</v>
      </c>
      <c r="E225" s="354">
        <v>350</v>
      </c>
      <c r="F225" s="295">
        <f t="shared" si="12"/>
        <v>3799.5999999999995</v>
      </c>
      <c r="G225" s="159">
        <f>[2]расшифровки!$J493</f>
        <v>14000</v>
      </c>
      <c r="H225" s="6"/>
      <c r="I225" s="6"/>
    </row>
    <row r="226" spans="1:9" ht="15.75" x14ac:dyDescent="0.25">
      <c r="A226" s="477" t="s">
        <v>390</v>
      </c>
      <c r="B226" s="203" t="s">
        <v>84</v>
      </c>
      <c r="C226" s="200"/>
      <c r="D226" s="480">
        <f>10*A187</f>
        <v>2.7139999999999995</v>
      </c>
      <c r="E226" s="354">
        <v>850</v>
      </c>
      <c r="F226" s="295">
        <f t="shared" si="12"/>
        <v>2306.8999999999996</v>
      </c>
      <c r="G226" s="159">
        <f>[2]расшифровки!$J494</f>
        <v>8500</v>
      </c>
      <c r="H226" s="6"/>
      <c r="I226" s="6"/>
    </row>
    <row r="227" spans="1:9" ht="15.75" x14ac:dyDescent="0.25">
      <c r="A227" s="477" t="s">
        <v>391</v>
      </c>
      <c r="B227" s="203" t="s">
        <v>84</v>
      </c>
      <c r="C227" s="200"/>
      <c r="D227" s="480">
        <f>2*A187</f>
        <v>0.54279999999999995</v>
      </c>
      <c r="E227" s="354">
        <v>7500</v>
      </c>
      <c r="F227" s="295">
        <f t="shared" si="12"/>
        <v>4070.9999999999995</v>
      </c>
      <c r="G227" s="159">
        <f>[2]расшифровки!$J495</f>
        <v>15000</v>
      </c>
      <c r="H227" s="6"/>
      <c r="I227" s="6"/>
    </row>
    <row r="228" spans="1:9" ht="15.75" x14ac:dyDescent="0.25">
      <c r="A228" s="477" t="s">
        <v>392</v>
      </c>
      <c r="B228" s="203" t="s">
        <v>84</v>
      </c>
      <c r="C228" s="200"/>
      <c r="D228" s="480">
        <f>5*A187</f>
        <v>1.3569999999999998</v>
      </c>
      <c r="E228" s="354">
        <v>800</v>
      </c>
      <c r="F228" s="295">
        <f t="shared" si="12"/>
        <v>1085.5999999999999</v>
      </c>
      <c r="G228" s="159">
        <f>[2]расшифровки!$J496</f>
        <v>4000</v>
      </c>
      <c r="H228" s="6"/>
      <c r="I228" s="6"/>
    </row>
    <row r="229" spans="1:9" ht="15.75" x14ac:dyDescent="0.25">
      <c r="A229" s="477" t="s">
        <v>393</v>
      </c>
      <c r="B229" s="203" t="s">
        <v>84</v>
      </c>
      <c r="C229" s="200"/>
      <c r="D229" s="480">
        <f>20*A187</f>
        <v>5.427999999999999</v>
      </c>
      <c r="E229" s="354">
        <v>50</v>
      </c>
      <c r="F229" s="295">
        <f t="shared" si="12"/>
        <v>271.39999999999998</v>
      </c>
      <c r="G229" s="159">
        <f>[2]расшифровки!$J497</f>
        <v>1000</v>
      </c>
      <c r="H229" s="6"/>
      <c r="I229" s="6"/>
    </row>
    <row r="230" spans="1:9" ht="15.75" x14ac:dyDescent="0.25">
      <c r="A230" s="477" t="s">
        <v>394</v>
      </c>
      <c r="B230" s="203" t="s">
        <v>84</v>
      </c>
      <c r="C230" s="200"/>
      <c r="D230" s="480">
        <f>1000*A187</f>
        <v>271.39999999999998</v>
      </c>
      <c r="E230" s="354">
        <v>4</v>
      </c>
      <c r="F230" s="295">
        <f t="shared" si="12"/>
        <v>1085.5999999999999</v>
      </c>
      <c r="G230" s="159">
        <f>[2]расшифровки!$J498</f>
        <v>4000</v>
      </c>
      <c r="H230" s="6"/>
      <c r="I230" s="6"/>
    </row>
    <row r="231" spans="1:9" ht="15.75" x14ac:dyDescent="0.25">
      <c r="A231" s="477" t="s">
        <v>395</v>
      </c>
      <c r="B231" s="203" t="s">
        <v>84</v>
      </c>
      <c r="C231" s="200"/>
      <c r="D231" s="480">
        <f>1000*A187</f>
        <v>271.39999999999998</v>
      </c>
      <c r="E231" s="354">
        <v>5</v>
      </c>
      <c r="F231" s="295">
        <f t="shared" si="12"/>
        <v>1357</v>
      </c>
      <c r="G231" s="159">
        <f>[2]расшифровки!$J499</f>
        <v>5000</v>
      </c>
      <c r="H231" s="6"/>
      <c r="I231" s="6"/>
    </row>
    <row r="232" spans="1:9" ht="15.75" x14ac:dyDescent="0.25">
      <c r="A232" s="477" t="s">
        <v>396</v>
      </c>
      <c r="B232" s="203" t="s">
        <v>84</v>
      </c>
      <c r="C232" s="200"/>
      <c r="D232" s="480">
        <f>2000*A187</f>
        <v>542.79999999999995</v>
      </c>
      <c r="E232" s="354">
        <v>2</v>
      </c>
      <c r="F232" s="295">
        <f t="shared" si="12"/>
        <v>1085.5999999999999</v>
      </c>
      <c r="G232" s="159">
        <f>[2]расшифровки!$J500</f>
        <v>4000</v>
      </c>
      <c r="H232" s="6"/>
      <c r="I232" s="6"/>
    </row>
    <row r="233" spans="1:9" ht="15.75" x14ac:dyDescent="0.25">
      <c r="A233" s="477" t="s">
        <v>397</v>
      </c>
      <c r="B233" s="203" t="s">
        <v>84</v>
      </c>
      <c r="C233" s="200"/>
      <c r="D233" s="480">
        <f>1000*A187</f>
        <v>271.39999999999998</v>
      </c>
      <c r="E233" s="354">
        <v>5.5</v>
      </c>
      <c r="F233" s="295">
        <f t="shared" si="12"/>
        <v>1492.6999999999998</v>
      </c>
      <c r="G233" s="159">
        <f>[2]расшифровки!$J501</f>
        <v>5500</v>
      </c>
      <c r="H233" s="6"/>
      <c r="I233" s="6"/>
    </row>
    <row r="234" spans="1:9" ht="15.75" x14ac:dyDescent="0.25">
      <c r="A234" s="477" t="s">
        <v>398</v>
      </c>
      <c r="B234" s="203" t="s">
        <v>84</v>
      </c>
      <c r="C234" s="200"/>
      <c r="D234" s="480">
        <f>4*A187</f>
        <v>1.0855999999999999</v>
      </c>
      <c r="E234" s="354">
        <v>550</v>
      </c>
      <c r="F234" s="295">
        <f t="shared" si="12"/>
        <v>597.07999999999993</v>
      </c>
      <c r="G234" s="159">
        <f>[2]расшифровки!$J502</f>
        <v>2200</v>
      </c>
      <c r="H234" s="6"/>
      <c r="I234" s="6"/>
    </row>
    <row r="235" spans="1:9" ht="15.75" x14ac:dyDescent="0.25">
      <c r="A235" s="477" t="s">
        <v>399</v>
      </c>
      <c r="B235" s="203" t="s">
        <v>84</v>
      </c>
      <c r="C235" s="200"/>
      <c r="D235" s="480">
        <f>5*A187</f>
        <v>1.3569999999999998</v>
      </c>
      <c r="E235" s="354">
        <v>340</v>
      </c>
      <c r="F235" s="295">
        <f t="shared" si="12"/>
        <v>461.37999999999994</v>
      </c>
      <c r="G235" s="159">
        <f>[2]расшифровки!$J503</f>
        <v>1700</v>
      </c>
      <c r="H235" s="6"/>
      <c r="I235" s="6"/>
    </row>
    <row r="236" spans="1:9" ht="15.75" x14ac:dyDescent="0.25">
      <c r="A236" s="477" t="s">
        <v>400</v>
      </c>
      <c r="B236" s="203" t="s">
        <v>84</v>
      </c>
      <c r="C236" s="200"/>
      <c r="D236" s="480">
        <f>5*A187</f>
        <v>1.3569999999999998</v>
      </c>
      <c r="E236" s="354">
        <v>1250</v>
      </c>
      <c r="F236" s="295">
        <f t="shared" si="12"/>
        <v>1696.2499999999998</v>
      </c>
      <c r="G236" s="159">
        <f>[2]расшифровки!$J504</f>
        <v>6250</v>
      </c>
      <c r="H236" s="6"/>
      <c r="I236" s="6"/>
    </row>
    <row r="237" spans="1:9" ht="15.75" x14ac:dyDescent="0.25">
      <c r="A237" s="477" t="s">
        <v>401</v>
      </c>
      <c r="B237" s="203" t="s">
        <v>84</v>
      </c>
      <c r="C237" s="200"/>
      <c r="D237" s="480">
        <f>5*A187</f>
        <v>1.3569999999999998</v>
      </c>
      <c r="E237" s="354">
        <v>700</v>
      </c>
      <c r="F237" s="295">
        <f t="shared" si="12"/>
        <v>949.89999999999986</v>
      </c>
      <c r="G237" s="159">
        <f>[2]расшифровки!$J505</f>
        <v>3500</v>
      </c>
      <c r="H237" s="6"/>
      <c r="I237" s="6"/>
    </row>
    <row r="238" spans="1:9" ht="15.75" x14ac:dyDescent="0.25">
      <c r="A238" s="477" t="s">
        <v>402</v>
      </c>
      <c r="B238" s="203" t="s">
        <v>84</v>
      </c>
      <c r="C238" s="200"/>
      <c r="D238" s="480">
        <f>35*A187</f>
        <v>9.4989999999999988</v>
      </c>
      <c r="E238" s="354">
        <v>250</v>
      </c>
      <c r="F238" s="295">
        <f t="shared" si="12"/>
        <v>2374.7499999999995</v>
      </c>
      <c r="G238" s="159">
        <f>[2]расшифровки!$J506</f>
        <v>8750</v>
      </c>
      <c r="H238" s="6"/>
      <c r="I238" s="6"/>
    </row>
    <row r="239" spans="1:9" ht="15.75" x14ac:dyDescent="0.25">
      <c r="A239" s="477" t="s">
        <v>403</v>
      </c>
      <c r="B239" s="203" t="s">
        <v>84</v>
      </c>
      <c r="C239" s="200"/>
      <c r="D239" s="480">
        <f>60*A187</f>
        <v>16.283999999999999</v>
      </c>
      <c r="E239" s="354">
        <v>35</v>
      </c>
      <c r="F239" s="295">
        <f t="shared" si="12"/>
        <v>569.93999999999994</v>
      </c>
      <c r="G239" s="159">
        <f>[2]расшифровки!$J507</f>
        <v>2100</v>
      </c>
      <c r="H239" s="6"/>
      <c r="I239" s="6"/>
    </row>
    <row r="240" spans="1:9" ht="15.75" x14ac:dyDescent="0.25">
      <c r="A240" s="477" t="s">
        <v>404</v>
      </c>
      <c r="B240" s="203" t="s">
        <v>84</v>
      </c>
      <c r="C240" s="208"/>
      <c r="D240" s="480">
        <f>10*A187</f>
        <v>2.7139999999999995</v>
      </c>
      <c r="E240" s="354">
        <v>350</v>
      </c>
      <c r="F240" s="295">
        <f t="shared" si="12"/>
        <v>949.89999999999986</v>
      </c>
      <c r="G240" s="159">
        <f>[2]расшифровки!$J508</f>
        <v>3500</v>
      </c>
      <c r="H240" s="6"/>
      <c r="I240" s="6"/>
    </row>
    <row r="241" spans="1:12" ht="15.75" x14ac:dyDescent="0.25">
      <c r="A241" s="477" t="s">
        <v>405</v>
      </c>
      <c r="B241" s="203" t="s">
        <v>84</v>
      </c>
      <c r="C241" s="208"/>
      <c r="D241" s="480">
        <f>A187</f>
        <v>0.27139999999999997</v>
      </c>
      <c r="E241" s="354">
        <v>450</v>
      </c>
      <c r="F241" s="295">
        <f t="shared" si="12"/>
        <v>122.13</v>
      </c>
      <c r="G241" s="159">
        <f>[2]расшифровки!$J509</f>
        <v>450</v>
      </c>
      <c r="H241" s="6"/>
      <c r="I241" s="6"/>
    </row>
    <row r="242" spans="1:12" ht="15.75" x14ac:dyDescent="0.25">
      <c r="A242" s="477" t="s">
        <v>406</v>
      </c>
      <c r="B242" s="203" t="s">
        <v>84</v>
      </c>
      <c r="C242" s="208"/>
      <c r="D242" s="480">
        <f>7*A187</f>
        <v>1.8997999999999999</v>
      </c>
      <c r="E242" s="354">
        <v>3200</v>
      </c>
      <c r="F242" s="295">
        <f t="shared" si="12"/>
        <v>6079.36</v>
      </c>
      <c r="G242" s="159">
        <f>[2]расшифровки!$J510</f>
        <v>22400</v>
      </c>
      <c r="H242" s="6"/>
      <c r="I242" s="6"/>
      <c r="J242" s="132"/>
      <c r="K242" s="107"/>
      <c r="L242" s="133"/>
    </row>
    <row r="243" spans="1:12" ht="15.75" x14ac:dyDescent="0.25">
      <c r="A243" s="477" t="s">
        <v>407</v>
      </c>
      <c r="B243" s="203" t="s">
        <v>84</v>
      </c>
      <c r="C243" s="208"/>
      <c r="D243" s="480">
        <f>10*A187</f>
        <v>2.7139999999999995</v>
      </c>
      <c r="E243" s="354">
        <v>1260</v>
      </c>
      <c r="F243" s="295">
        <f t="shared" si="12"/>
        <v>3419.6399999999994</v>
      </c>
      <c r="G243" s="159">
        <f>[2]расшифровки!$J511</f>
        <v>12600</v>
      </c>
      <c r="H243" s="6"/>
      <c r="I243" s="6"/>
      <c r="J243" s="132"/>
      <c r="K243" s="107"/>
      <c r="L243" s="133"/>
    </row>
    <row r="244" spans="1:12" ht="15.75" x14ac:dyDescent="0.25">
      <c r="A244" s="477" t="s">
        <v>408</v>
      </c>
      <c r="B244" s="203" t="s">
        <v>84</v>
      </c>
      <c r="C244" s="208"/>
      <c r="D244" s="480">
        <f>7*A187</f>
        <v>1.8997999999999999</v>
      </c>
      <c r="E244" s="354">
        <v>800</v>
      </c>
      <c r="F244" s="295">
        <f t="shared" si="12"/>
        <v>1519.84</v>
      </c>
      <c r="G244" s="159">
        <f>[2]расшифровки!$J512</f>
        <v>5600</v>
      </c>
      <c r="H244" s="6"/>
      <c r="I244" s="6"/>
      <c r="J244" s="132"/>
      <c r="K244" s="107"/>
      <c r="L244" s="133"/>
    </row>
    <row r="245" spans="1:12" ht="15.75" x14ac:dyDescent="0.25">
      <c r="A245" s="477" t="s">
        <v>409</v>
      </c>
      <c r="B245" s="203" t="s">
        <v>84</v>
      </c>
      <c r="C245" s="208"/>
      <c r="D245" s="480">
        <f>A187</f>
        <v>0.27139999999999997</v>
      </c>
      <c r="E245" s="354">
        <v>2400</v>
      </c>
      <c r="F245" s="295">
        <f t="shared" si="12"/>
        <v>651.3599999999999</v>
      </c>
      <c r="G245" s="159">
        <f>[2]расшифровки!$J513</f>
        <v>2400</v>
      </c>
      <c r="H245" s="6"/>
      <c r="I245" s="6"/>
      <c r="J245" s="132"/>
      <c r="K245" s="107"/>
      <c r="L245" s="133"/>
    </row>
    <row r="246" spans="1:12" ht="16.5" x14ac:dyDescent="0.25">
      <c r="A246" s="358" t="s">
        <v>410</v>
      </c>
      <c r="B246" s="203" t="s">
        <v>84</v>
      </c>
      <c r="C246" s="208"/>
      <c r="D246" s="478">
        <f>5*A187</f>
        <v>1.3569999999999998</v>
      </c>
      <c r="E246" s="362">
        <v>2000</v>
      </c>
      <c r="F246" s="295">
        <f t="shared" si="12"/>
        <v>2713.9999999999995</v>
      </c>
      <c r="G246" s="159">
        <f>[2]расшифровки!$J515</f>
        <v>10000</v>
      </c>
      <c r="H246" s="6"/>
      <c r="I246" s="6"/>
      <c r="J246" s="132"/>
      <c r="K246" s="107"/>
      <c r="L246" s="133"/>
    </row>
    <row r="247" spans="1:12" ht="16.5" x14ac:dyDescent="0.25">
      <c r="A247" s="358" t="s">
        <v>411</v>
      </c>
      <c r="B247" s="203" t="s">
        <v>84</v>
      </c>
      <c r="C247" s="208"/>
      <c r="D247" s="478">
        <f>A187</f>
        <v>0.27139999999999997</v>
      </c>
      <c r="E247" s="362">
        <v>9800</v>
      </c>
      <c r="F247" s="295">
        <f t="shared" si="12"/>
        <v>2659.72</v>
      </c>
      <c r="G247" s="159">
        <f>[2]расшифровки!$J516</f>
        <v>9800</v>
      </c>
      <c r="H247" s="6"/>
      <c r="I247" s="6"/>
      <c r="J247" s="132"/>
      <c r="K247" s="107"/>
      <c r="L247" s="133"/>
    </row>
    <row r="248" spans="1:12" ht="16.5" x14ac:dyDescent="0.25">
      <c r="A248" s="358" t="s">
        <v>412</v>
      </c>
      <c r="B248" s="203" t="s">
        <v>84</v>
      </c>
      <c r="C248" s="208"/>
      <c r="D248" s="478">
        <f>2*A187</f>
        <v>0.54279999999999995</v>
      </c>
      <c r="E248" s="362">
        <v>9800</v>
      </c>
      <c r="F248" s="295">
        <f t="shared" si="12"/>
        <v>5319.44</v>
      </c>
      <c r="G248" s="159">
        <f>[2]расшифровки!$J517</f>
        <v>19600</v>
      </c>
      <c r="H248" s="6"/>
      <c r="I248" s="6"/>
      <c r="J248" s="132"/>
      <c r="K248" s="107"/>
      <c r="L248" s="133"/>
    </row>
    <row r="249" spans="1:12" ht="16.5" x14ac:dyDescent="0.25">
      <c r="A249" s="358" t="s">
        <v>413</v>
      </c>
      <c r="B249" s="203" t="s">
        <v>84</v>
      </c>
      <c r="C249" s="200"/>
      <c r="D249" s="478">
        <f>A187</f>
        <v>0.27139999999999997</v>
      </c>
      <c r="E249" s="362">
        <v>6000</v>
      </c>
      <c r="F249" s="295">
        <f t="shared" si="12"/>
        <v>1628.3999999999999</v>
      </c>
      <c r="G249" s="159">
        <f>[2]расшифровки!$J518</f>
        <v>6000</v>
      </c>
      <c r="H249" s="6"/>
      <c r="I249" s="6"/>
      <c r="J249" s="132"/>
      <c r="K249" s="107"/>
      <c r="L249" s="133"/>
    </row>
    <row r="250" spans="1:12" ht="16.5" x14ac:dyDescent="0.25">
      <c r="A250" s="358" t="s">
        <v>414</v>
      </c>
      <c r="B250" s="203" t="s">
        <v>84</v>
      </c>
      <c r="C250" s="200"/>
      <c r="D250" s="478">
        <f>A187</f>
        <v>0.27139999999999997</v>
      </c>
      <c r="E250" s="362">
        <v>6500</v>
      </c>
      <c r="F250" s="295">
        <f t="shared" si="12"/>
        <v>1764.1</v>
      </c>
      <c r="G250" s="159">
        <f>[2]расшифровки!$J519</f>
        <v>6500</v>
      </c>
      <c r="H250" s="6"/>
      <c r="I250" s="6"/>
      <c r="J250" s="132"/>
      <c r="K250" s="107"/>
      <c r="L250" s="133"/>
    </row>
    <row r="251" spans="1:12" ht="13.9" customHeight="1" x14ac:dyDescent="0.25">
      <c r="A251" s="358" t="s">
        <v>415</v>
      </c>
      <c r="B251" s="203" t="s">
        <v>84</v>
      </c>
      <c r="C251" s="200"/>
      <c r="D251" s="478">
        <f>A187</f>
        <v>0.27139999999999997</v>
      </c>
      <c r="E251" s="362">
        <v>2500</v>
      </c>
      <c r="F251" s="295">
        <f t="shared" si="12"/>
        <v>678.49999999999989</v>
      </c>
      <c r="G251" s="159">
        <f>[2]расшифровки!$J520</f>
        <v>2500</v>
      </c>
      <c r="H251" s="6"/>
      <c r="I251" s="6"/>
      <c r="J251" s="132"/>
      <c r="K251" s="107"/>
      <c r="L251" s="133"/>
    </row>
    <row r="252" spans="1:12" ht="19.899999999999999" customHeight="1" x14ac:dyDescent="0.25">
      <c r="A252" s="358" t="s">
        <v>416</v>
      </c>
      <c r="B252" s="203" t="s">
        <v>84</v>
      </c>
      <c r="C252" s="200"/>
      <c r="D252" s="478">
        <f>80*A187</f>
        <v>21.711999999999996</v>
      </c>
      <c r="E252" s="362">
        <v>377.5</v>
      </c>
      <c r="F252" s="295">
        <f t="shared" si="12"/>
        <v>8196.2799999999988</v>
      </c>
      <c r="G252" s="159">
        <f>[2]расшифровки!$J521</f>
        <v>30200</v>
      </c>
      <c r="H252" s="6"/>
      <c r="I252" s="6"/>
      <c r="J252" s="132"/>
      <c r="K252" s="107"/>
      <c r="L252" s="133"/>
    </row>
    <row r="253" spans="1:12" ht="16.899999999999999" customHeight="1" x14ac:dyDescent="0.25">
      <c r="A253" s="358" t="s">
        <v>417</v>
      </c>
      <c r="B253" s="203" t="s">
        <v>84</v>
      </c>
      <c r="C253" s="200"/>
      <c r="D253" s="478">
        <f>46*A187</f>
        <v>12.484399999999999</v>
      </c>
      <c r="E253" s="362">
        <v>1040</v>
      </c>
      <c r="F253" s="295">
        <f t="shared" si="12"/>
        <v>12983.776</v>
      </c>
      <c r="G253" s="159">
        <f>[2]расшифровки!$J522</f>
        <v>47840</v>
      </c>
      <c r="H253" s="6"/>
      <c r="I253" s="6"/>
      <c r="J253" s="132"/>
      <c r="K253" s="107"/>
      <c r="L253" s="133"/>
    </row>
    <row r="254" spans="1:12" ht="16.5" x14ac:dyDescent="0.25">
      <c r="A254" s="359" t="s">
        <v>418</v>
      </c>
      <c r="B254" s="203" t="s">
        <v>84</v>
      </c>
      <c r="C254" s="271"/>
      <c r="D254" s="478">
        <f>A187</f>
        <v>0.27139999999999997</v>
      </c>
      <c r="E254" s="362">
        <v>11990</v>
      </c>
      <c r="F254" s="295">
        <f t="shared" si="12"/>
        <v>3254.0859999999998</v>
      </c>
      <c r="G254" s="159">
        <f>[2]расшифровки!$J526</f>
        <v>11990</v>
      </c>
      <c r="H254" s="6"/>
      <c r="I254" s="6"/>
      <c r="J254" s="132"/>
      <c r="K254" s="107"/>
      <c r="L254" s="133"/>
    </row>
    <row r="255" spans="1:12" ht="16.5" x14ac:dyDescent="0.25">
      <c r="A255" s="359" t="s">
        <v>419</v>
      </c>
      <c r="B255" s="203" t="s">
        <v>84</v>
      </c>
      <c r="C255" s="271"/>
      <c r="D255" s="478">
        <f>200*A187</f>
        <v>54.279999999999994</v>
      </c>
      <c r="E255" s="362">
        <v>205</v>
      </c>
      <c r="F255" s="295">
        <f t="shared" si="12"/>
        <v>11127.4</v>
      </c>
      <c r="G255" s="159">
        <f>[2]расшифровки!$J527</f>
        <v>41000</v>
      </c>
      <c r="H255" s="6"/>
      <c r="I255" s="6"/>
      <c r="J255" s="132"/>
      <c r="K255" s="107"/>
      <c r="L255" s="133"/>
    </row>
    <row r="256" spans="1:12" ht="16.5" x14ac:dyDescent="0.25">
      <c r="A256" s="358" t="s">
        <v>251</v>
      </c>
      <c r="B256" s="203" t="s">
        <v>84</v>
      </c>
      <c r="C256" s="204"/>
      <c r="D256" s="478">
        <f>4*A187</f>
        <v>1.0855999999999999</v>
      </c>
      <c r="E256" s="362">
        <v>487.5</v>
      </c>
      <c r="F256" s="295">
        <f t="shared" si="12"/>
        <v>529.2299999999999</v>
      </c>
      <c r="G256" s="159">
        <f>[2]расшифровки!$J528</f>
        <v>1950</v>
      </c>
      <c r="H256" s="6"/>
      <c r="I256" s="6"/>
      <c r="J256" s="132"/>
      <c r="K256" s="107"/>
      <c r="L256" s="133"/>
    </row>
    <row r="257" spans="1:12" ht="16.5" x14ac:dyDescent="0.25">
      <c r="A257" s="359" t="s">
        <v>255</v>
      </c>
      <c r="B257" s="203" t="s">
        <v>84</v>
      </c>
      <c r="C257" s="271"/>
      <c r="D257" s="478">
        <f>40*A187</f>
        <v>10.855999999999998</v>
      </c>
      <c r="E257" s="362">
        <v>1100</v>
      </c>
      <c r="F257" s="295">
        <f t="shared" si="12"/>
        <v>11941.599999999999</v>
      </c>
      <c r="G257" s="159">
        <f>[2]расшифровки!$J530</f>
        <v>44000</v>
      </c>
      <c r="H257" s="6"/>
      <c r="I257" s="6"/>
      <c r="J257" s="132"/>
      <c r="K257" s="107"/>
      <c r="L257" s="133"/>
    </row>
    <row r="258" spans="1:12" ht="16.5" x14ac:dyDescent="0.25">
      <c r="A258" s="359" t="s">
        <v>420</v>
      </c>
      <c r="B258" s="203" t="s">
        <v>84</v>
      </c>
      <c r="C258" s="271"/>
      <c r="D258" s="478">
        <f>70*A187</f>
        <v>18.997999999999998</v>
      </c>
      <c r="E258" s="362">
        <v>110</v>
      </c>
      <c r="F258" s="295">
        <f t="shared" ref="F258:F272" si="14">D258*E258</f>
        <v>2089.7799999999997</v>
      </c>
      <c r="G258" s="159">
        <f>[2]расшифровки!$J531</f>
        <v>7700</v>
      </c>
      <c r="H258" s="6"/>
      <c r="I258" s="6"/>
      <c r="J258" s="132"/>
      <c r="K258" s="107"/>
      <c r="L258" s="133"/>
    </row>
    <row r="259" spans="1:12" ht="16.5" x14ac:dyDescent="0.25">
      <c r="A259" s="359" t="s">
        <v>421</v>
      </c>
      <c r="B259" s="203" t="s">
        <v>84</v>
      </c>
      <c r="C259" s="271"/>
      <c r="D259" s="478">
        <f>10*A187</f>
        <v>2.7139999999999995</v>
      </c>
      <c r="E259" s="362">
        <v>1900</v>
      </c>
      <c r="F259" s="295">
        <f t="shared" si="14"/>
        <v>5156.5999999999995</v>
      </c>
      <c r="G259" s="159">
        <f>[2]расшифровки!$J532</f>
        <v>19000</v>
      </c>
      <c r="H259" s="6"/>
      <c r="I259" s="6"/>
      <c r="J259" s="132"/>
      <c r="K259" s="107"/>
      <c r="L259" s="133"/>
    </row>
    <row r="260" spans="1:12" ht="16.5" x14ac:dyDescent="0.25">
      <c r="A260" s="359" t="s">
        <v>422</v>
      </c>
      <c r="B260" s="203" t="s">
        <v>84</v>
      </c>
      <c r="C260" s="271"/>
      <c r="D260" s="478">
        <f>2*A187</f>
        <v>0.54279999999999995</v>
      </c>
      <c r="E260" s="362">
        <v>3500</v>
      </c>
      <c r="F260" s="295">
        <f t="shared" si="14"/>
        <v>1899.7999999999997</v>
      </c>
      <c r="G260" s="159">
        <f>[2]расшифровки!$J533</f>
        <v>7000</v>
      </c>
      <c r="H260" s="6"/>
      <c r="I260" s="6"/>
      <c r="J260" s="132"/>
      <c r="K260" s="107"/>
      <c r="L260" s="133"/>
    </row>
    <row r="261" spans="1:12" ht="16.5" x14ac:dyDescent="0.25">
      <c r="A261" s="359" t="s">
        <v>266</v>
      </c>
      <c r="B261" s="203" t="s">
        <v>84</v>
      </c>
      <c r="C261" s="306"/>
      <c r="D261" s="478">
        <f>40*A187</f>
        <v>10.855999999999998</v>
      </c>
      <c r="E261" s="362">
        <v>50</v>
      </c>
      <c r="F261" s="295">
        <f t="shared" si="14"/>
        <v>542.79999999999995</v>
      </c>
      <c r="G261" s="159">
        <f>[2]расшифровки!$J538</f>
        <v>2000</v>
      </c>
      <c r="H261" s="6"/>
      <c r="I261" s="6"/>
      <c r="J261" s="132"/>
      <c r="K261" s="107"/>
      <c r="L261" s="133"/>
    </row>
    <row r="262" spans="1:12" ht="16.5" x14ac:dyDescent="0.25">
      <c r="A262" s="359" t="s">
        <v>268</v>
      </c>
      <c r="B262" s="203" t="s">
        <v>84</v>
      </c>
      <c r="C262" s="306"/>
      <c r="D262" s="478">
        <f>10*A187</f>
        <v>2.7139999999999995</v>
      </c>
      <c r="E262" s="362">
        <v>300</v>
      </c>
      <c r="F262" s="295">
        <f t="shared" si="14"/>
        <v>814.19999999999982</v>
      </c>
      <c r="G262" s="159">
        <f>[2]расшифровки!$J540</f>
        <v>3000</v>
      </c>
      <c r="H262" s="6"/>
      <c r="I262" s="6"/>
      <c r="J262" s="132"/>
      <c r="K262" s="107"/>
      <c r="L262" s="133"/>
    </row>
    <row r="263" spans="1:12" ht="16.5" x14ac:dyDescent="0.25">
      <c r="A263" s="359" t="s">
        <v>269</v>
      </c>
      <c r="B263" s="203" t="s">
        <v>84</v>
      </c>
      <c r="C263" s="306"/>
      <c r="D263" s="478">
        <f>D262</f>
        <v>2.7139999999999995</v>
      </c>
      <c r="E263" s="362">
        <v>210</v>
      </c>
      <c r="F263" s="295">
        <f t="shared" si="14"/>
        <v>569.93999999999994</v>
      </c>
      <c r="G263" s="159">
        <f>[2]расшифровки!$J541</f>
        <v>1900</v>
      </c>
      <c r="H263" s="6"/>
      <c r="I263" s="6"/>
      <c r="J263" s="132"/>
      <c r="K263" s="107"/>
      <c r="L263" s="133"/>
    </row>
    <row r="264" spans="1:12" ht="16.5" x14ac:dyDescent="0.25">
      <c r="A264" s="359" t="s">
        <v>270</v>
      </c>
      <c r="B264" s="203" t="s">
        <v>84</v>
      </c>
      <c r="C264" s="306"/>
      <c r="D264" s="478">
        <f>D263</f>
        <v>2.7139999999999995</v>
      </c>
      <c r="E264" s="362">
        <v>34</v>
      </c>
      <c r="F264" s="295">
        <f t="shared" si="14"/>
        <v>92.275999999999982</v>
      </c>
      <c r="G264" s="159">
        <f>[2]расшифровки!$J542</f>
        <v>340</v>
      </c>
      <c r="H264" s="6"/>
      <c r="I264" s="6"/>
      <c r="J264" s="132"/>
      <c r="K264" s="107"/>
      <c r="L264" s="133"/>
    </row>
    <row r="265" spans="1:12" ht="16.5" x14ac:dyDescent="0.25">
      <c r="A265" s="359" t="s">
        <v>276</v>
      </c>
      <c r="B265" s="203" t="s">
        <v>84</v>
      </c>
      <c r="C265" s="306"/>
      <c r="D265" s="478">
        <f>100*A187</f>
        <v>27.139999999999997</v>
      </c>
      <c r="E265" s="362">
        <v>205.17</v>
      </c>
      <c r="F265" s="295">
        <f t="shared" si="14"/>
        <v>5568.313799999999</v>
      </c>
      <c r="G265" s="159">
        <f>[2]расшифровки!$J543</f>
        <v>20517</v>
      </c>
      <c r="H265" s="6"/>
      <c r="I265" s="6"/>
      <c r="J265" s="132"/>
      <c r="K265" s="107"/>
      <c r="L265" s="133"/>
    </row>
    <row r="266" spans="1:12" ht="16.5" x14ac:dyDescent="0.25">
      <c r="A266" s="359" t="s">
        <v>277</v>
      </c>
      <c r="B266" s="203" t="s">
        <v>84</v>
      </c>
      <c r="C266" s="306"/>
      <c r="D266" s="478">
        <f>D264</f>
        <v>2.7139999999999995</v>
      </c>
      <c r="E266" s="362">
        <v>400.04</v>
      </c>
      <c r="F266" s="295">
        <f t="shared" si="14"/>
        <v>1085.7085599999998</v>
      </c>
      <c r="G266" s="159">
        <f>[2]расшифровки!$J544</f>
        <v>4000.4</v>
      </c>
      <c r="H266" s="6"/>
      <c r="I266" s="6"/>
      <c r="J266" s="132"/>
      <c r="K266" s="107"/>
      <c r="L266" s="133"/>
    </row>
    <row r="267" spans="1:12" ht="16.5" x14ac:dyDescent="0.25">
      <c r="A267" s="359" t="s">
        <v>279</v>
      </c>
      <c r="B267" s="203" t="s">
        <v>84</v>
      </c>
      <c r="C267" s="306"/>
      <c r="D267" s="478">
        <f>2600*A187</f>
        <v>705.64</v>
      </c>
      <c r="E267" s="362">
        <v>50</v>
      </c>
      <c r="F267" s="295">
        <f t="shared" si="14"/>
        <v>35282</v>
      </c>
      <c r="G267" s="159">
        <f>[2]расшифровки!$J546</f>
        <v>130000</v>
      </c>
      <c r="H267" s="6"/>
      <c r="I267" s="6"/>
      <c r="J267" s="132"/>
      <c r="K267" s="107"/>
      <c r="L267" s="133"/>
    </row>
    <row r="268" spans="1:12" ht="16.5" x14ac:dyDescent="0.25">
      <c r="A268" s="379" t="s">
        <v>423</v>
      </c>
      <c r="B268" s="203" t="s">
        <v>84</v>
      </c>
      <c r="C268" s="306"/>
      <c r="D268" s="478">
        <f>A187</f>
        <v>0.27139999999999997</v>
      </c>
      <c r="E268" s="362">
        <v>1500</v>
      </c>
      <c r="F268" s="295">
        <f t="shared" si="14"/>
        <v>407.09999999999997</v>
      </c>
      <c r="G268" s="159">
        <f>[2]расшифровки!$J547</f>
        <v>1500</v>
      </c>
      <c r="H268" s="6"/>
      <c r="I268" s="6"/>
      <c r="J268" s="132"/>
      <c r="K268" s="107"/>
      <c r="L268" s="133"/>
    </row>
    <row r="269" spans="1:12" ht="16.5" x14ac:dyDescent="0.25">
      <c r="A269" s="379" t="s">
        <v>424</v>
      </c>
      <c r="B269" s="203" t="s">
        <v>84</v>
      </c>
      <c r="C269" s="306"/>
      <c r="D269" s="478">
        <f>D268</f>
        <v>0.27139999999999997</v>
      </c>
      <c r="E269" s="362">
        <v>18000</v>
      </c>
      <c r="F269" s="295">
        <f t="shared" si="14"/>
        <v>4885.2</v>
      </c>
      <c r="G269" s="159">
        <f>[2]расшифровки!$J548</f>
        <v>18000</v>
      </c>
      <c r="H269" s="6"/>
      <c r="I269" s="6"/>
      <c r="J269" s="132"/>
      <c r="K269" s="107"/>
      <c r="L269" s="133"/>
    </row>
    <row r="270" spans="1:12" ht="16.5" x14ac:dyDescent="0.25">
      <c r="A270" s="379" t="s">
        <v>418</v>
      </c>
      <c r="B270" s="203" t="s">
        <v>84</v>
      </c>
      <c r="C270" s="306"/>
      <c r="D270" s="478">
        <f>D268</f>
        <v>0.27139999999999997</v>
      </c>
      <c r="E270" s="362">
        <v>13000</v>
      </c>
      <c r="F270" s="295">
        <f t="shared" si="14"/>
        <v>3528.2</v>
      </c>
      <c r="G270" s="159">
        <f>[2]расшифровки!$J549</f>
        <v>13000</v>
      </c>
      <c r="H270" s="6"/>
      <c r="I270" s="6"/>
      <c r="J270" s="132"/>
      <c r="K270" s="107"/>
      <c r="L270" s="133"/>
    </row>
    <row r="271" spans="1:12" ht="16.5" x14ac:dyDescent="0.25">
      <c r="A271" s="379" t="s">
        <v>425</v>
      </c>
      <c r="B271" s="203" t="s">
        <v>84</v>
      </c>
      <c r="C271" s="306"/>
      <c r="D271" s="478">
        <f>D268</f>
        <v>0.27139999999999997</v>
      </c>
      <c r="E271" s="362">
        <v>21000</v>
      </c>
      <c r="F271" s="295">
        <f t="shared" si="14"/>
        <v>5699.4</v>
      </c>
      <c r="G271" s="159">
        <f>[2]расшифровки!$J550</f>
        <v>21000</v>
      </c>
      <c r="H271" s="6"/>
      <c r="I271" s="6"/>
      <c r="J271" s="132"/>
      <c r="K271" s="107"/>
      <c r="L271" s="133"/>
    </row>
    <row r="272" spans="1:12" ht="16.5" x14ac:dyDescent="0.25">
      <c r="A272" s="155" t="s">
        <v>426</v>
      </c>
      <c r="B272" s="203" t="s">
        <v>84</v>
      </c>
      <c r="C272" s="208"/>
      <c r="D272" s="478">
        <f>D268</f>
        <v>0.27139999999999997</v>
      </c>
      <c r="E272" s="482">
        <v>9000</v>
      </c>
      <c r="F272" s="295">
        <f t="shared" si="14"/>
        <v>2442.6</v>
      </c>
      <c r="G272" s="159">
        <f>[2]расшифровки!$J551</f>
        <v>9000</v>
      </c>
      <c r="H272" s="6"/>
      <c r="I272" s="6"/>
      <c r="J272" s="132"/>
      <c r="K272" s="107"/>
      <c r="L272" s="133"/>
    </row>
    <row r="273" spans="1:9" ht="18.75" x14ac:dyDescent="0.25">
      <c r="A273" s="704" t="s">
        <v>31</v>
      </c>
      <c r="B273" s="739"/>
      <c r="C273" s="739"/>
      <c r="D273" s="739"/>
      <c r="E273" s="705"/>
      <c r="F273" s="447">
        <f>SUM(F191:F272)</f>
        <v>248324.21066600006</v>
      </c>
      <c r="G273" s="159"/>
      <c r="H273" s="6"/>
      <c r="I273" s="6"/>
    </row>
    <row r="274" spans="1:9" ht="15.75" x14ac:dyDescent="0.25">
      <c r="A274" s="6"/>
      <c r="B274" s="6"/>
      <c r="C274" s="6"/>
      <c r="D274" s="6"/>
      <c r="E274" s="159"/>
      <c r="F274" s="6"/>
      <c r="G274" s="159"/>
      <c r="H274" s="6"/>
      <c r="I274" s="6"/>
    </row>
    <row r="275" spans="1:9" ht="15.75" x14ac:dyDescent="0.25">
      <c r="A275" s="6"/>
      <c r="B275" s="6"/>
      <c r="C275" s="6"/>
      <c r="D275" s="6"/>
      <c r="E275" s="6"/>
      <c r="F275" s="6"/>
    </row>
  </sheetData>
  <autoFilter ref="A189:I272" xr:uid="{00000000-0009-0000-0000-000007000000}"/>
  <mergeCells count="167">
    <mergeCell ref="A1:I1"/>
    <mergeCell ref="E84:E85"/>
    <mergeCell ref="F84:F85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273:E273"/>
    <mergeCell ref="A154:F154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G157:G158"/>
    <mergeCell ref="A162:F162"/>
    <mergeCell ref="A163:F163"/>
    <mergeCell ref="A165:A166"/>
    <mergeCell ref="B165:B166"/>
    <mergeCell ref="D165:D166"/>
    <mergeCell ref="F146:F147"/>
    <mergeCell ref="A128:E128"/>
    <mergeCell ref="E165:E166"/>
    <mergeCell ref="F165:F166"/>
    <mergeCell ref="A157:A158"/>
    <mergeCell ref="B157:B158"/>
    <mergeCell ref="D157:D158"/>
    <mergeCell ref="E157:E158"/>
    <mergeCell ref="F157:F158"/>
    <mergeCell ref="A141:B141"/>
    <mergeCell ref="A142:B142"/>
    <mergeCell ref="A143:B143"/>
    <mergeCell ref="A155:F155"/>
    <mergeCell ref="G146:G147"/>
    <mergeCell ref="A137:B138"/>
    <mergeCell ref="D137:D138"/>
    <mergeCell ref="G137:G138"/>
    <mergeCell ref="A139:B139"/>
    <mergeCell ref="D119:D120"/>
    <mergeCell ref="E119:E120"/>
    <mergeCell ref="F119:F120"/>
    <mergeCell ref="A144:F144"/>
    <mergeCell ref="A146:A147"/>
    <mergeCell ref="B146:B147"/>
    <mergeCell ref="D146:D147"/>
    <mergeCell ref="E146:E147"/>
    <mergeCell ref="A134:F134"/>
    <mergeCell ref="E137:E138"/>
    <mergeCell ref="F137:F138"/>
    <mergeCell ref="A88:B88"/>
    <mergeCell ref="A90:B90"/>
    <mergeCell ref="A89:B89"/>
    <mergeCell ref="A48:B48"/>
    <mergeCell ref="A86:B86"/>
    <mergeCell ref="A87:B87"/>
    <mergeCell ref="A140:B140"/>
    <mergeCell ref="A119:A120"/>
    <mergeCell ref="B119:B120"/>
    <mergeCell ref="B110:C110"/>
    <mergeCell ref="A106:H106"/>
    <mergeCell ref="A107:A109"/>
    <mergeCell ref="B107:C109"/>
    <mergeCell ref="D108:D109"/>
    <mergeCell ref="E108:E109"/>
    <mergeCell ref="F108:F109"/>
    <mergeCell ref="A82:F82"/>
    <mergeCell ref="A84:B85"/>
    <mergeCell ref="D84:D85"/>
    <mergeCell ref="A49:B49"/>
    <mergeCell ref="A50:B50"/>
    <mergeCell ref="A52:B52"/>
    <mergeCell ref="A53:F53"/>
    <mergeCell ref="A55:B56"/>
    <mergeCell ref="B31:C31"/>
    <mergeCell ref="B33:C33"/>
    <mergeCell ref="A57:B57"/>
    <mergeCell ref="A81:B81"/>
    <mergeCell ref="G84:G85"/>
    <mergeCell ref="H84:H85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91:F91"/>
    <mergeCell ref="G45:G46"/>
    <mergeCell ref="A117:F117"/>
    <mergeCell ref="I94:I96"/>
    <mergeCell ref="A97:A98"/>
    <mergeCell ref="B97:B98"/>
    <mergeCell ref="D97:D98"/>
    <mergeCell ref="E97:E98"/>
    <mergeCell ref="F97:F98"/>
    <mergeCell ref="G97:G98"/>
    <mergeCell ref="I97:I98"/>
    <mergeCell ref="A103:F103"/>
    <mergeCell ref="D107:F107"/>
    <mergeCell ref="A42:F42"/>
    <mergeCell ref="A45:B46"/>
    <mergeCell ref="D45:D46"/>
    <mergeCell ref="A92:H92"/>
    <mergeCell ref="B94:B96"/>
    <mergeCell ref="D94:D96"/>
    <mergeCell ref="E94:F94"/>
    <mergeCell ref="G94:G96"/>
    <mergeCell ref="B40:C40"/>
    <mergeCell ref="B41:C41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1" max="9" man="1"/>
    <brk id="154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79" t="s">
        <v>71</v>
      </c>
      <c r="B1" s="779"/>
      <c r="C1" s="779"/>
      <c r="D1" s="779"/>
      <c r="E1" s="779"/>
      <c r="F1" s="779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60</v>
      </c>
      <c r="B3" s="14" t="s">
        <v>2</v>
      </c>
      <c r="C3" s="14" t="s">
        <v>61</v>
      </c>
      <c r="D3" s="14" t="s">
        <v>62</v>
      </c>
      <c r="E3" s="13" t="s">
        <v>63</v>
      </c>
      <c r="F3" s="14" t="s">
        <v>64</v>
      </c>
      <c r="G3" s="13" t="s">
        <v>65</v>
      </c>
      <c r="H3" s="13" t="s">
        <v>66</v>
      </c>
      <c r="I3" s="24" t="s">
        <v>67</v>
      </c>
    </row>
    <row r="4" spans="1:9" ht="15.75" x14ac:dyDescent="0.25">
      <c r="A4" s="15" t="s">
        <v>72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[3]Лист1!D15</f>
        <v>Заведуюший</v>
      </c>
      <c r="B5" s="20">
        <f>[3]Лист1!E15</f>
        <v>1</v>
      </c>
      <c r="C5" s="20">
        <f>[3]Лист1!AD15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[3]Лист1!D16</f>
        <v>Ведущий специалист по работе с молодежью</v>
      </c>
      <c r="B6" s="20">
        <f>[3]Лист1!E16</f>
        <v>1</v>
      </c>
      <c r="C6" s="20">
        <f>[3]Лист1!AD16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[3]Лист1!D17</f>
        <v>Специалист по работе с молодежью, 1 кв. уровень</v>
      </c>
      <c r="B7" s="20">
        <f>[3]Лист1!E17</f>
        <v>4.5999999999999996</v>
      </c>
      <c r="C7" s="20">
        <f>[3]Лист1!AD17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[3]Лист1!D18</f>
        <v>Водитель автомобиля, 1 кв. уровень</v>
      </c>
      <c r="B8" s="20">
        <f>[3]Лист1!E18</f>
        <v>1</v>
      </c>
      <c r="C8" s="20">
        <f>[3]Лист1!AD18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[3]Лист1!D19</f>
        <v>Рабочий по комплексному обслуживанию здания</v>
      </c>
      <c r="B9" s="20">
        <f>[3]Лист1!E19</f>
        <v>0.5</v>
      </c>
      <c r="C9" s="20">
        <f>[3]Лист1!AD19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[3]Лист1!D20</f>
        <v>Уборщик служебных помещений, 1 кв. уровень</v>
      </c>
      <c r="B10" s="20">
        <f>[3]Лист1!E20</f>
        <v>1</v>
      </c>
      <c r="C10" s="20">
        <f>[3]Лист1!AD20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[3]Лист1!D21</f>
        <v xml:space="preserve">Сторож, 1 кв. уровень </v>
      </c>
      <c r="B11" s="20">
        <f>[3]Лист1!E21</f>
        <v>3</v>
      </c>
      <c r="C11" s="20">
        <f>[3]Лист1!AD21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[3]Лист1!D22</f>
        <v>19510</v>
      </c>
      <c r="B12" s="27">
        <f>[3]Лист1!E22</f>
        <v>12.1</v>
      </c>
      <c r="C12" s="27">
        <f>[3]Лист1!AD22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3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6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инновации+добровольчество0,3643</vt:lpstr>
      <vt:lpstr>Лист1</vt:lpstr>
      <vt:lpstr>натур показатели патриотика</vt:lpstr>
      <vt:lpstr>патриотика0,3643</vt:lpstr>
      <vt:lpstr>натур показатели таланты+инициа</vt:lpstr>
      <vt:lpstr>таланты+инициативы0,2714</vt:lpstr>
      <vt:lpstr>Лист3</vt:lpstr>
      <vt:lpstr>затраты!Область_печати</vt:lpstr>
      <vt:lpstr>'инновации+добровольчество0,3643'!Область_печати</vt:lpstr>
      <vt:lpstr>'патриотика0,3643'!Область_печати</vt:lpstr>
      <vt:lpstr>'таланты+инициативы0,2714'!Область_печати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2023-12-24T10:31:04Z</dcterms:modified>
</cp:coreProperties>
</file>